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8.xml" ContentType="application/vnd.openxmlformats-officedocument.drawing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/>
  <mc:AlternateContent xmlns:mc="http://schemas.openxmlformats.org/markup-compatibility/2006">
    <mc:Choice Requires="x15">
      <x15ac:absPath xmlns:x15ac="http://schemas.microsoft.com/office/spreadsheetml/2010/11/ac" url="C:\Users\User\Documents\Homepage\Diagnostik\Laktat\"/>
    </mc:Choice>
  </mc:AlternateContent>
  <bookViews>
    <workbookView xWindow="-105" yWindow="-105" windowWidth="23250" windowHeight="12570" tabRatio="638"/>
  </bookViews>
  <sheets>
    <sheet name="Start" sheetId="14" r:id="rId1"/>
    <sheet name="Test 1" sheetId="11" r:id="rId2"/>
    <sheet name="PWC 130" sheetId="12" r:id="rId3"/>
    <sheet name="Laktat" sheetId="13" r:id="rId4"/>
    <sheet name="MET &amp; PWC" sheetId="9" r:id="rId5"/>
    <sheet name="Test 2" sheetId="15" r:id="rId6"/>
    <sheet name="PWC 130 (2)" sheetId="16" r:id="rId7"/>
    <sheet name="Laktat (2)" sheetId="17" r:id="rId8"/>
    <sheet name="MET &amp; PWC (2)" sheetId="18" r:id="rId9"/>
  </sheets>
  <definedNames>
    <definedName name="_xlnm.Print_Area" localSheetId="3">Laktat!$A$1:$I$48</definedName>
    <definedName name="_xlnm.Print_Area" localSheetId="7">'Laktat (2)'!$A$1:$I$48</definedName>
    <definedName name="_xlnm.Print_Area" localSheetId="4">'MET &amp; PWC'!$A$1:$H$46</definedName>
    <definedName name="_xlnm.Print_Area" localSheetId="8">'MET &amp; PWC (2)'!$A$1:$H$46</definedName>
    <definedName name="_xlnm.Print_Area" localSheetId="2">'PWC 130'!$A$1:$H$48</definedName>
    <definedName name="_xlnm.Print_Area" localSheetId="6">'PWC 130 (2)'!$A$1:$H$48</definedName>
    <definedName name="_xlnm.Print_Area" localSheetId="1">'Test 1'!$A$1:$G$47</definedName>
    <definedName name="_xlnm.Print_Area" localSheetId="5">'Test 2'!$A$1:$G$47</definedName>
  </definedNames>
  <calcPr calcId="162913"/>
</workbook>
</file>

<file path=xl/calcChain.xml><?xml version="1.0" encoding="utf-8"?>
<calcChain xmlns="http://schemas.openxmlformats.org/spreadsheetml/2006/main">
  <c r="H2" i="9" l="1"/>
  <c r="H2" i="13"/>
  <c r="B137" i="15" l="1"/>
  <c r="B136" i="15"/>
  <c r="A130" i="15"/>
  <c r="A131" i="15" s="1"/>
  <c r="A132" i="15" s="1"/>
  <c r="A133" i="15" s="1"/>
  <c r="A134" i="15" s="1"/>
  <c r="A135" i="15" s="1"/>
  <c r="A136" i="15" s="1"/>
  <c r="E13" i="14" l="1"/>
  <c r="E12" i="14"/>
  <c r="E11" i="14"/>
  <c r="B9" i="18" l="1"/>
  <c r="B8" i="18"/>
  <c r="B7" i="18"/>
  <c r="B6" i="18"/>
  <c r="B4" i="18"/>
  <c r="B3" i="18"/>
  <c r="H2" i="18"/>
  <c r="B2" i="18"/>
  <c r="D4" i="17"/>
  <c r="H8" i="17"/>
  <c r="F4" i="17"/>
  <c r="A7" i="17"/>
  <c r="B7" i="17" s="1"/>
  <c r="A6" i="17"/>
  <c r="B6" i="17" s="1"/>
  <c r="B4" i="17"/>
  <c r="B3" i="17"/>
  <c r="H2" i="17"/>
  <c r="B2" i="17"/>
  <c r="A7" i="16"/>
  <c r="B7" i="16" s="1"/>
  <c r="H8" i="16" s="1"/>
  <c r="A6" i="16"/>
  <c r="G4" i="16"/>
  <c r="E4" i="16"/>
  <c r="B4" i="16"/>
  <c r="B3" i="16"/>
  <c r="B2" i="16"/>
  <c r="H8" i="12"/>
  <c r="A6" i="13"/>
  <c r="A6" i="12"/>
  <c r="D4" i="12"/>
  <c r="B5" i="18" l="1"/>
  <c r="B9" i="15"/>
  <c r="C7" i="17" l="1"/>
  <c r="C7" i="16"/>
  <c r="G3" i="15" l="1"/>
  <c r="D14" i="18" s="1"/>
  <c r="G8" i="15"/>
  <c r="G7" i="15"/>
  <c r="A13" i="15" s="1"/>
  <c r="AO13" i="15" s="1"/>
  <c r="G4" i="15"/>
  <c r="E56" i="14"/>
  <c r="E62" i="14" s="1"/>
  <c r="E15" i="14"/>
  <c r="E21" i="14" s="1"/>
  <c r="E27" i="14" s="1"/>
  <c r="E33" i="14" s="1"/>
  <c r="E39" i="14" s="1"/>
  <c r="E45" i="14" s="1"/>
  <c r="E51" i="14" s="1"/>
  <c r="E14" i="14"/>
  <c r="E20" i="14" s="1"/>
  <c r="E26" i="14" s="1"/>
  <c r="E32" i="14" s="1"/>
  <c r="E38" i="14" s="1"/>
  <c r="E44" i="14" s="1"/>
  <c r="E50" i="14" s="1"/>
  <c r="E4" i="14"/>
  <c r="E5" i="14"/>
  <c r="E6" i="14"/>
  <c r="E8" i="14"/>
  <c r="E3" i="14"/>
  <c r="E138" i="15"/>
  <c r="D138" i="15"/>
  <c r="C138" i="15"/>
  <c r="B138" i="15"/>
  <c r="E137" i="15"/>
  <c r="D137" i="15"/>
  <c r="C137" i="15"/>
  <c r="E136" i="15"/>
  <c r="D136" i="15"/>
  <c r="C136" i="15"/>
  <c r="E135" i="15"/>
  <c r="D135" i="15"/>
  <c r="C135" i="15"/>
  <c r="B135" i="15"/>
  <c r="E134" i="15"/>
  <c r="G17" i="15" s="1"/>
  <c r="BH9" i="15" s="1"/>
  <c r="D134" i="15"/>
  <c r="C134" i="15"/>
  <c r="B134" i="15"/>
  <c r="E133" i="15"/>
  <c r="G16" i="15" s="1"/>
  <c r="BH8" i="15" s="1"/>
  <c r="D133" i="15"/>
  <c r="C133" i="15"/>
  <c r="B133" i="15"/>
  <c r="E132" i="15"/>
  <c r="G15" i="15" s="1"/>
  <c r="BH7" i="15" s="1"/>
  <c r="D132" i="15"/>
  <c r="C132" i="15"/>
  <c r="B132" i="15"/>
  <c r="E131" i="15"/>
  <c r="G14" i="15" s="1"/>
  <c r="BH6" i="15" s="1"/>
  <c r="D131" i="15"/>
  <c r="D14" i="15" s="1"/>
  <c r="C131" i="15"/>
  <c r="C14" i="15" s="1"/>
  <c r="B131" i="15"/>
  <c r="E14" i="15" s="1"/>
  <c r="E130" i="15"/>
  <c r="G13" i="15" s="1"/>
  <c r="D130" i="15"/>
  <c r="D13" i="15" s="1"/>
  <c r="C130" i="15"/>
  <c r="C13" i="15" s="1"/>
  <c r="B130" i="15"/>
  <c r="E13" i="15" s="1"/>
  <c r="B8" i="15"/>
  <c r="B7" i="15"/>
  <c r="B6" i="15"/>
  <c r="B5" i="15"/>
  <c r="B4" i="15"/>
  <c r="B3" i="15"/>
  <c r="F14" i="15" l="1"/>
  <c r="F13" i="15"/>
  <c r="AZ9" i="15"/>
  <c r="AZ6" i="15"/>
  <c r="AZ10" i="15"/>
  <c r="AZ7" i="15"/>
  <c r="AZ11" i="15"/>
  <c r="AY5" i="15"/>
  <c r="AX5" i="15"/>
  <c r="AZ8" i="15"/>
  <c r="AZ5" i="15"/>
  <c r="BI5" i="15"/>
  <c r="BK5" i="15" s="1"/>
  <c r="BL5" i="15" s="1"/>
  <c r="BA5" i="15"/>
  <c r="BB5" i="15" s="1"/>
  <c r="BS5" i="15"/>
  <c r="BT21" i="15"/>
  <c r="BT22" i="15" s="1"/>
  <c r="BT23" i="15" s="1"/>
  <c r="BT24" i="15" s="1"/>
  <c r="BT25" i="15" s="1"/>
  <c r="BH5" i="15"/>
  <c r="BT5" i="15"/>
  <c r="BV5" i="15" s="1"/>
  <c r="BW5" i="15" s="1"/>
  <c r="G5" i="15"/>
  <c r="G6" i="15" s="1"/>
  <c r="B13" i="15"/>
  <c r="B14" i="15"/>
  <c r="A14" i="15" s="1"/>
  <c r="B15" i="15"/>
  <c r="C15" i="15" s="1"/>
  <c r="B9" i="9"/>
  <c r="B8" i="9"/>
  <c r="B7" i="9"/>
  <c r="B6" i="9"/>
  <c r="B4" i="9"/>
  <c r="B3" i="9"/>
  <c r="B2" i="9"/>
  <c r="D4" i="13"/>
  <c r="F4" i="13"/>
  <c r="B4" i="13"/>
  <c r="B3" i="13"/>
  <c r="B2" i="13"/>
  <c r="F4" i="12"/>
  <c r="B4" i="12"/>
  <c r="B3" i="12"/>
  <c r="B2" i="12"/>
  <c r="G3" i="11"/>
  <c r="B3" i="11"/>
  <c r="G8" i="11"/>
  <c r="G7" i="11"/>
  <c r="G4" i="11"/>
  <c r="B5" i="11"/>
  <c r="B6" i="11"/>
  <c r="B7" i="11"/>
  <c r="B8" i="11"/>
  <c r="B9" i="11"/>
  <c r="B4" i="11"/>
  <c r="AY6" i="15" l="1"/>
  <c r="AO14" i="15"/>
  <c r="C6" i="12"/>
  <c r="C6" i="13"/>
  <c r="C6" i="16"/>
  <c r="C6" i="17"/>
  <c r="B6" i="13"/>
  <c r="B6" i="16"/>
  <c r="G8" i="16" s="1"/>
  <c r="B6" i="12"/>
  <c r="G8" i="12" s="1"/>
  <c r="D13" i="9"/>
  <c r="D13" i="18"/>
  <c r="BI6" i="15"/>
  <c r="BK6" i="15" s="1"/>
  <c r="BL6" i="15" s="1"/>
  <c r="BM6" i="15" s="1"/>
  <c r="BN6" i="15" s="1"/>
  <c r="BO6" i="15" s="1"/>
  <c r="AY21" i="15"/>
  <c r="AY22" i="15" s="1"/>
  <c r="AY23" i="15" s="1"/>
  <c r="AY24" i="15" s="1"/>
  <c r="AY25" i="15" s="1"/>
  <c r="AX6" i="15"/>
  <c r="BT6" i="15"/>
  <c r="BV6" i="15" s="1"/>
  <c r="BW6" i="15" s="1"/>
  <c r="BX6" i="15" s="1"/>
  <c r="BY6" i="15" s="1"/>
  <c r="BZ6" i="15" s="1"/>
  <c r="BS6" i="15"/>
  <c r="BA6" i="15"/>
  <c r="BB6" i="15" s="1"/>
  <c r="BC6" i="15" s="1"/>
  <c r="BD6" i="15" s="1"/>
  <c r="BE6" i="15" s="1"/>
  <c r="BC5" i="15"/>
  <c r="BD5" i="15" s="1"/>
  <c r="BE5" i="15" s="1"/>
  <c r="BM5" i="15"/>
  <c r="BN5" i="15" s="1"/>
  <c r="BO5" i="15" s="1"/>
  <c r="BI21" i="15"/>
  <c r="BI22" i="15" s="1"/>
  <c r="BI23" i="15" s="1"/>
  <c r="BI24" i="15" s="1"/>
  <c r="BI25" i="15" s="1"/>
  <c r="BX5" i="15"/>
  <c r="BY5" i="15" s="1"/>
  <c r="BZ5" i="15" s="1"/>
  <c r="BT26" i="15"/>
  <c r="B5" i="9"/>
  <c r="E15" i="15"/>
  <c r="A15" i="15"/>
  <c r="D15" i="15"/>
  <c r="B16" i="15"/>
  <c r="G5" i="11"/>
  <c r="G6" i="11" s="1"/>
  <c r="AY7" i="15" l="1"/>
  <c r="AO15" i="15"/>
  <c r="C16" i="15"/>
  <c r="E16" i="15"/>
  <c r="BI7" i="15"/>
  <c r="BK7" i="15" s="1"/>
  <c r="BL7" i="15" s="1"/>
  <c r="BT7" i="15"/>
  <c r="BV7" i="15" s="1"/>
  <c r="BW7" i="15" s="1"/>
  <c r="BS7" i="15"/>
  <c r="BA7" i="15"/>
  <c r="BB7" i="15" s="1"/>
  <c r="AX7" i="15"/>
  <c r="AY26" i="15"/>
  <c r="BT27" i="15"/>
  <c r="BI26" i="15"/>
  <c r="B17" i="15"/>
  <c r="A16" i="15"/>
  <c r="D16" i="15"/>
  <c r="F15" i="15"/>
  <c r="E104" i="11"/>
  <c r="E103" i="11"/>
  <c r="E102" i="11"/>
  <c r="E101" i="11"/>
  <c r="E100" i="11"/>
  <c r="E99" i="11"/>
  <c r="E98" i="11"/>
  <c r="E97" i="11"/>
  <c r="E96" i="11"/>
  <c r="D104" i="11"/>
  <c r="D103" i="11"/>
  <c r="D102" i="11"/>
  <c r="D101" i="11"/>
  <c r="D100" i="11"/>
  <c r="D99" i="11"/>
  <c r="D98" i="11"/>
  <c r="D97" i="11"/>
  <c r="D96" i="11"/>
  <c r="C104" i="11"/>
  <c r="C103" i="11"/>
  <c r="C102" i="11"/>
  <c r="C101" i="11"/>
  <c r="C100" i="11"/>
  <c r="C99" i="11"/>
  <c r="C98" i="11"/>
  <c r="C97" i="11"/>
  <c r="C96" i="11"/>
  <c r="B102" i="11"/>
  <c r="B101" i="11"/>
  <c r="B100" i="11"/>
  <c r="B104" i="11"/>
  <c r="B103" i="11"/>
  <c r="B99" i="11"/>
  <c r="B98" i="11"/>
  <c r="B97" i="11"/>
  <c r="B96" i="11"/>
  <c r="C56" i="14"/>
  <c r="C62" i="14" s="1"/>
  <c r="A96" i="11"/>
  <c r="A97" i="11" s="1"/>
  <c r="A98" i="11" s="1"/>
  <c r="A99" i="11" s="1"/>
  <c r="A100" i="11" s="1"/>
  <c r="A101" i="11" s="1"/>
  <c r="A102" i="11" s="1"/>
  <c r="A13" i="11"/>
  <c r="AM5" i="11" s="1"/>
  <c r="C15" i="14"/>
  <c r="C21" i="14" s="1"/>
  <c r="C27" i="14" s="1"/>
  <c r="C33" i="14" s="1"/>
  <c r="C39" i="14" s="1"/>
  <c r="C45" i="14" s="1"/>
  <c r="C51" i="14" s="1"/>
  <c r="C14" i="14"/>
  <c r="C20" i="14" s="1"/>
  <c r="C26" i="14" s="1"/>
  <c r="C32" i="14" s="1"/>
  <c r="C38" i="14" s="1"/>
  <c r="C44" i="14" s="1"/>
  <c r="C50" i="14" s="1"/>
  <c r="AY8" i="15" l="1"/>
  <c r="AO16" i="15"/>
  <c r="C17" i="15"/>
  <c r="E17" i="15"/>
  <c r="AC13" i="11"/>
  <c r="AW5" i="11"/>
  <c r="AY5" i="11" s="1"/>
  <c r="AZ5" i="11" s="1"/>
  <c r="BA5" i="11" s="1"/>
  <c r="BB5" i="11" s="1"/>
  <c r="BC5" i="11" s="1"/>
  <c r="BI8" i="15"/>
  <c r="BK8" i="15" s="1"/>
  <c r="BL8" i="15" s="1"/>
  <c r="BM8" i="15" s="1"/>
  <c r="BN8" i="15" s="1"/>
  <c r="BO8" i="15" s="1"/>
  <c r="BX7" i="15"/>
  <c r="BM7" i="15"/>
  <c r="BN7" i="15" s="1"/>
  <c r="BO7" i="15" s="1"/>
  <c r="BC7" i="15"/>
  <c r="BD7" i="15" s="1"/>
  <c r="BE7" i="15" s="1"/>
  <c r="BT8" i="15"/>
  <c r="BV8" i="15" s="1"/>
  <c r="BW8" i="15" s="1"/>
  <c r="BA8" i="15"/>
  <c r="BB8" i="15" s="1"/>
  <c r="BC8" i="15" s="1"/>
  <c r="BD8" i="15" s="1"/>
  <c r="BE8" i="15" s="1"/>
  <c r="BS8" i="15"/>
  <c r="AX8" i="15"/>
  <c r="BI27" i="15"/>
  <c r="AY27" i="15"/>
  <c r="BT28" i="15"/>
  <c r="F16" i="15"/>
  <c r="B18" i="15"/>
  <c r="A17" i="15"/>
  <c r="AO17" i="15" s="1"/>
  <c r="D17" i="15"/>
  <c r="AM178" i="11"/>
  <c r="AO178" i="11" s="1"/>
  <c r="AM173" i="11"/>
  <c r="AO5" i="11"/>
  <c r="G13" i="11"/>
  <c r="G14" i="11"/>
  <c r="G15" i="11"/>
  <c r="G16" i="11"/>
  <c r="G17" i="11"/>
  <c r="AN169" i="11"/>
  <c r="AM169" i="11"/>
  <c r="AL169" i="11"/>
  <c r="AZ13" i="15" l="1" a="1"/>
  <c r="BB13" i="15" s="1"/>
  <c r="BJ13" i="15" a="1"/>
  <c r="BL13" i="15" s="1"/>
  <c r="C18" i="15"/>
  <c r="E18" i="15"/>
  <c r="AP5" i="11"/>
  <c r="AJ5" i="11"/>
  <c r="BX8" i="15"/>
  <c r="BY8" i="15" s="1"/>
  <c r="BZ8" i="15" s="1"/>
  <c r="BI14" i="15" a="1"/>
  <c r="BY7" i="15"/>
  <c r="BZ7" i="15" s="1"/>
  <c r="BU13" i="15" a="1"/>
  <c r="AY14" i="15" a="1"/>
  <c r="BT9" i="15"/>
  <c r="BV9" i="15" s="1"/>
  <c r="BW9" i="15" s="1"/>
  <c r="BX9" i="15" s="1"/>
  <c r="BY9" i="15" s="1"/>
  <c r="BZ9" i="15" s="1"/>
  <c r="AX9" i="15"/>
  <c r="BS9" i="15"/>
  <c r="BA9" i="15"/>
  <c r="BB9" i="15" s="1"/>
  <c r="BC9" i="15" s="1"/>
  <c r="BD9" i="15" s="1"/>
  <c r="BE9" i="15" s="1"/>
  <c r="AY9" i="15"/>
  <c r="BI9" i="15"/>
  <c r="BK9" i="15" s="1"/>
  <c r="BL9" i="15" s="1"/>
  <c r="BM9" i="15" s="1"/>
  <c r="BN9" i="15" s="1"/>
  <c r="BO9" i="15" s="1"/>
  <c r="BI28" i="15"/>
  <c r="AY28" i="15"/>
  <c r="BT29" i="15"/>
  <c r="AV9" i="11"/>
  <c r="AV8" i="11"/>
  <c r="AV7" i="11"/>
  <c r="AL179" i="11"/>
  <c r="AP179" i="11" s="1"/>
  <c r="AQ179" i="11" s="1"/>
  <c r="AR179" i="11" s="1"/>
  <c r="AV6" i="11"/>
  <c r="BG5" i="11"/>
  <c r="AV5" i="11"/>
  <c r="AL203" i="11"/>
  <c r="F17" i="15"/>
  <c r="B19" i="15"/>
  <c r="A18" i="15"/>
  <c r="AO18" i="15" s="1"/>
  <c r="G18" i="15"/>
  <c r="BH10" i="15" s="1"/>
  <c r="D18" i="15"/>
  <c r="AL173" i="11"/>
  <c r="AL178" i="11"/>
  <c r="H8" i="13"/>
  <c r="AL204" i="11"/>
  <c r="AP204" i="11" s="1"/>
  <c r="AQ204" i="11" s="1"/>
  <c r="AR204" i="11" s="1"/>
  <c r="D13" i="11"/>
  <c r="D14" i="11"/>
  <c r="C14" i="11"/>
  <c r="C13" i="11"/>
  <c r="E14" i="11"/>
  <c r="E13" i="11"/>
  <c r="BH21" i="11" s="1"/>
  <c r="B15" i="11"/>
  <c r="B13" i="11"/>
  <c r="B14" i="11"/>
  <c r="A14" i="11" s="1"/>
  <c r="AW21" i="11" s="1"/>
  <c r="AW22" i="11" s="1"/>
  <c r="BA13" i="15" l="1"/>
  <c r="AZ13" i="15"/>
  <c r="BK13" i="15"/>
  <c r="BJ13" i="15"/>
  <c r="BT14" i="15" a="1"/>
  <c r="BU14" i="15" s="1"/>
  <c r="C19" i="15"/>
  <c r="E19" i="15"/>
  <c r="AO6" i="11"/>
  <c r="AC14" i="11"/>
  <c r="BH6" i="11"/>
  <c r="BJ6" i="11" s="1"/>
  <c r="BK6" i="11" s="1"/>
  <c r="BL6" i="11" s="1"/>
  <c r="BM6" i="11" s="1"/>
  <c r="BN6" i="11" s="1"/>
  <c r="AW6" i="11"/>
  <c r="AY6" i="11" s="1"/>
  <c r="AZ6" i="11" s="1"/>
  <c r="BA6" i="11" s="1"/>
  <c r="BB6" i="11" s="1"/>
  <c r="BC6" i="11" s="1"/>
  <c r="AM21" i="11"/>
  <c r="AM22" i="11" s="1"/>
  <c r="AM23" i="11" s="1"/>
  <c r="AM24" i="11" s="1"/>
  <c r="AM25" i="11" s="1"/>
  <c r="AM26" i="11" s="1"/>
  <c r="AM27" i="11" s="1"/>
  <c r="AM28" i="11" s="1"/>
  <c r="AM29" i="11" s="1"/>
  <c r="AM30" i="11" s="1"/>
  <c r="AM31" i="11" s="1"/>
  <c r="AM32" i="11" s="1"/>
  <c r="AM33" i="11" s="1"/>
  <c r="AM34" i="11" s="1"/>
  <c r="AM35" i="11" s="1"/>
  <c r="AM36" i="11" s="1"/>
  <c r="AM37" i="11" s="1"/>
  <c r="AM38" i="11" s="1"/>
  <c r="AM39" i="11" s="1"/>
  <c r="AM40" i="11" s="1"/>
  <c r="AM41" i="11" s="1"/>
  <c r="AM42" i="11" s="1"/>
  <c r="AM43" i="11" s="1"/>
  <c r="AM44" i="11" s="1"/>
  <c r="AM45" i="11" s="1"/>
  <c r="AM46" i="11" s="1"/>
  <c r="AM47" i="11" s="1"/>
  <c r="AM48" i="11" s="1"/>
  <c r="AM49" i="11" s="1"/>
  <c r="AM78" i="11" s="1"/>
  <c r="AM79" i="11" s="1"/>
  <c r="AM80" i="11" s="1"/>
  <c r="AM81" i="11" s="1"/>
  <c r="AM82" i="11" s="1"/>
  <c r="AM83" i="11" s="1"/>
  <c r="AM84" i="11" s="1"/>
  <c r="AM85" i="11" s="1"/>
  <c r="AM86" i="11" s="1"/>
  <c r="AM87" i="11" s="1"/>
  <c r="AM88" i="11" s="1"/>
  <c r="AM89" i="11" s="1"/>
  <c r="AM90" i="11" s="1"/>
  <c r="AM91" i="11" s="1"/>
  <c r="AM92" i="11" s="1"/>
  <c r="AM93" i="11" s="1"/>
  <c r="AM94" i="11" s="1"/>
  <c r="AM95" i="11" s="1"/>
  <c r="AM96" i="11" s="1"/>
  <c r="AM97" i="11" s="1"/>
  <c r="AM98" i="11" s="1"/>
  <c r="AM99" i="11" s="1"/>
  <c r="AM100" i="11" s="1"/>
  <c r="AM101" i="11" s="1"/>
  <c r="AM102" i="11" s="1"/>
  <c r="AM103" i="11" s="1"/>
  <c r="AM104" i="11" s="1"/>
  <c r="AM105" i="11" s="1"/>
  <c r="AM106" i="11" s="1"/>
  <c r="AM107" i="11" s="1"/>
  <c r="AM108" i="11" s="1"/>
  <c r="AM109" i="11" s="1"/>
  <c r="AM110" i="11" s="1"/>
  <c r="AM111" i="11" s="1"/>
  <c r="AM112" i="11" s="1"/>
  <c r="AM113" i="11" s="1"/>
  <c r="AM114" i="11" s="1"/>
  <c r="BG6" i="11"/>
  <c r="AM203" i="11"/>
  <c r="BH5" i="11"/>
  <c r="BJ5" i="11" s="1"/>
  <c r="BK5" i="11" s="1"/>
  <c r="BL5" i="11" s="1"/>
  <c r="BM5" i="11" s="1"/>
  <c r="BN5" i="11" s="1"/>
  <c r="BS15" i="15" a="1"/>
  <c r="BS15" i="15" s="1"/>
  <c r="BH15" i="15" a="1"/>
  <c r="BK15" i="15" s="1"/>
  <c r="AX15" i="15" a="1"/>
  <c r="AZ15" i="15" s="1"/>
  <c r="BL14" i="15"/>
  <c r="BI14" i="15"/>
  <c r="BK14" i="15"/>
  <c r="BJ14" i="15"/>
  <c r="BV13" i="15"/>
  <c r="BW13" i="15"/>
  <c r="BU13" i="15"/>
  <c r="AZ14" i="15"/>
  <c r="BA14" i="15"/>
  <c r="BB14" i="15"/>
  <c r="AY14" i="15"/>
  <c r="BS10" i="15"/>
  <c r="BI10" i="15"/>
  <c r="BK10" i="15" s="1"/>
  <c r="BL10" i="15" s="1"/>
  <c r="BM10" i="15" s="1"/>
  <c r="BN10" i="15" s="1"/>
  <c r="BO10" i="15" s="1"/>
  <c r="AY10" i="15"/>
  <c r="AX10" i="15"/>
  <c r="BT10" i="15"/>
  <c r="BV10" i="15" s="1"/>
  <c r="BW10" i="15" s="1"/>
  <c r="BX10" i="15" s="1"/>
  <c r="BY10" i="15" s="1"/>
  <c r="BZ10" i="15" s="1"/>
  <c r="BA10" i="15"/>
  <c r="BB10" i="15" s="1"/>
  <c r="BC10" i="15" s="1"/>
  <c r="BD10" i="15" s="1"/>
  <c r="BE10" i="15" s="1"/>
  <c r="BT30" i="15"/>
  <c r="AY29" i="15"/>
  <c r="BI29" i="15"/>
  <c r="BH22" i="11"/>
  <c r="AW23" i="11"/>
  <c r="F18" i="15"/>
  <c r="A19" i="15"/>
  <c r="D19" i="15"/>
  <c r="G19" i="15"/>
  <c r="B20" i="15"/>
  <c r="D15" i="11"/>
  <c r="B16" i="11"/>
  <c r="AM204" i="11"/>
  <c r="AO204" i="11" s="1"/>
  <c r="AM179" i="11"/>
  <c r="AM6" i="11"/>
  <c r="AL5" i="11"/>
  <c r="AQ5" i="11"/>
  <c r="AR5" i="11" s="1"/>
  <c r="AS5" i="11" s="1"/>
  <c r="AL6" i="11"/>
  <c r="A15" i="11"/>
  <c r="F14" i="11"/>
  <c r="F13" i="11"/>
  <c r="C15" i="11"/>
  <c r="E15" i="11"/>
  <c r="AY11" i="15" l="1"/>
  <c r="AO19" i="15"/>
  <c r="AX16" i="15" a="1"/>
  <c r="BB16" i="15" s="1"/>
  <c r="BT14" i="15"/>
  <c r="BW14" i="15"/>
  <c r="BV14" i="15"/>
  <c r="C20" i="15"/>
  <c r="E20" i="15"/>
  <c r="B17" i="11"/>
  <c r="E16" i="11"/>
  <c r="AO7" i="11"/>
  <c r="AC15" i="11"/>
  <c r="BH7" i="11"/>
  <c r="BJ7" i="11" s="1"/>
  <c r="BK7" i="11" s="1"/>
  <c r="AW7" i="11"/>
  <c r="AY7" i="11" s="1"/>
  <c r="AZ7" i="11" s="1"/>
  <c r="BA7" i="11" s="1"/>
  <c r="BB7" i="11" s="1"/>
  <c r="BC7" i="11" s="1"/>
  <c r="BG7" i="11"/>
  <c r="AP6" i="11"/>
  <c r="AQ6" i="11" s="1"/>
  <c r="AR6" i="11" s="1"/>
  <c r="AS6" i="11" s="1"/>
  <c r="AJ6" i="11"/>
  <c r="BS16" i="15" a="1"/>
  <c r="BV16" i="15" s="1"/>
  <c r="BS17" i="15" a="1"/>
  <c r="BW17" i="15" s="1"/>
  <c r="BA15" i="15"/>
  <c r="BH17" i="15" a="1"/>
  <c r="BI17" i="15" s="1"/>
  <c r="BH16" i="15" a="1"/>
  <c r="BJ15" i="15"/>
  <c r="BB15" i="15"/>
  <c r="BW15" i="15"/>
  <c r="BL15" i="15"/>
  <c r="BH15" i="15"/>
  <c r="BV15" i="15"/>
  <c r="BI15" i="15"/>
  <c r="BT15" i="15"/>
  <c r="BU15" i="15"/>
  <c r="AX15" i="15"/>
  <c r="AY15" i="15"/>
  <c r="BI11" i="15"/>
  <c r="BK11" i="15" s="1"/>
  <c r="BL11" i="15" s="1"/>
  <c r="BM11" i="15" s="1"/>
  <c r="BN11" i="15" s="1"/>
  <c r="BO11" i="15" s="1"/>
  <c r="BA11" i="15"/>
  <c r="BB11" i="15" s="1"/>
  <c r="BC11" i="15" s="1"/>
  <c r="BD11" i="15" s="1"/>
  <c r="BE11" i="15" s="1"/>
  <c r="BT11" i="15"/>
  <c r="BV11" i="15" s="1"/>
  <c r="BW11" i="15" s="1"/>
  <c r="BX11" i="15" s="1"/>
  <c r="BY11" i="15" s="1"/>
  <c r="BZ11" i="15" s="1"/>
  <c r="AX11" i="15"/>
  <c r="BS11" i="15"/>
  <c r="G22" i="15"/>
  <c r="BJ5" i="15" s="1"/>
  <c r="BJ6" i="15" s="1"/>
  <c r="BJ7" i="15" s="1"/>
  <c r="BJ8" i="15" s="1"/>
  <c r="BJ9" i="15" s="1"/>
  <c r="BJ10" i="15" s="1"/>
  <c r="BJ11" i="15" s="1"/>
  <c r="BH11" i="15"/>
  <c r="BI30" i="15"/>
  <c r="AY30" i="15"/>
  <c r="BT31" i="15"/>
  <c r="BH23" i="11"/>
  <c r="AW24" i="11"/>
  <c r="F19" i="15"/>
  <c r="A23" i="15"/>
  <c r="A20" i="15"/>
  <c r="AO20" i="15" s="1"/>
  <c r="D20" i="15"/>
  <c r="B21" i="15"/>
  <c r="G20" i="15"/>
  <c r="F15" i="11"/>
  <c r="AL205" i="11"/>
  <c r="AP205" i="11" s="1"/>
  <c r="AL180" i="11"/>
  <c r="AP180" i="11" s="1"/>
  <c r="AM205" i="11"/>
  <c r="AO205" i="11" s="1"/>
  <c r="AM180" i="11"/>
  <c r="AL7" i="11"/>
  <c r="AM7" i="11"/>
  <c r="A16" i="11"/>
  <c r="AO179" i="11"/>
  <c r="D16" i="11"/>
  <c r="C16" i="11"/>
  <c r="BA16" i="15" l="1"/>
  <c r="AZ16" i="15"/>
  <c r="AX17" i="15" a="1"/>
  <c r="AZ17" i="15" s="1"/>
  <c r="F20" i="15"/>
  <c r="AY16" i="15"/>
  <c r="AX16" i="15"/>
  <c r="BS16" i="15"/>
  <c r="BS19" i="15" s="1"/>
  <c r="BU31" i="15" s="1"/>
  <c r="C21" i="15"/>
  <c r="E21" i="15"/>
  <c r="BT16" i="15"/>
  <c r="BW16" i="15"/>
  <c r="B18" i="11"/>
  <c r="E17" i="11"/>
  <c r="AX13" i="11" a="1"/>
  <c r="AZ13" i="11" s="1"/>
  <c r="AO8" i="11"/>
  <c r="AP8" i="11" s="1"/>
  <c r="AC16" i="11"/>
  <c r="AW8" i="11"/>
  <c r="AY8" i="11" s="1"/>
  <c r="AZ8" i="11" s="1"/>
  <c r="BH8" i="11"/>
  <c r="BJ8" i="11" s="1"/>
  <c r="BK8" i="11" s="1"/>
  <c r="BL8" i="11" s="1"/>
  <c r="BM8" i="11" s="1"/>
  <c r="BN8" i="11" s="1"/>
  <c r="BG8" i="11"/>
  <c r="AP7" i="11"/>
  <c r="AJ7" i="11"/>
  <c r="BL7" i="11"/>
  <c r="BM7" i="11" s="1"/>
  <c r="BN7" i="11" s="1"/>
  <c r="BU16" i="15"/>
  <c r="BU17" i="15"/>
  <c r="BS17" i="15"/>
  <c r="BV17" i="15"/>
  <c r="BV19" i="15" s="1"/>
  <c r="BX31" i="15" s="1"/>
  <c r="BT17" i="15"/>
  <c r="BT19" i="15" s="1"/>
  <c r="BV31" i="15" s="1"/>
  <c r="BK17" i="15"/>
  <c r="BJ17" i="15"/>
  <c r="BJ16" i="15"/>
  <c r="BI16" i="15"/>
  <c r="BI19" i="15" s="1"/>
  <c r="BK30" i="15" s="1"/>
  <c r="BL16" i="15"/>
  <c r="BK16" i="15"/>
  <c r="BL17" i="15"/>
  <c r="BH17" i="15"/>
  <c r="BH16" i="15"/>
  <c r="BP10" i="15"/>
  <c r="BU5" i="15"/>
  <c r="BJ19" i="15"/>
  <c r="BL30" i="15" s="1"/>
  <c r="BK19" i="15"/>
  <c r="BM30" i="15" s="1"/>
  <c r="AZ19" i="15"/>
  <c r="BB30" i="15" s="1"/>
  <c r="BL19" i="15"/>
  <c r="BH19" i="15"/>
  <c r="BJ30" i="15" s="1"/>
  <c r="BU19" i="15"/>
  <c r="BW31" i="15" s="1"/>
  <c r="BW19" i="15"/>
  <c r="BU7" i="15"/>
  <c r="CA7" i="15" s="1"/>
  <c r="BP9" i="15"/>
  <c r="BP8" i="15"/>
  <c r="BP7" i="15"/>
  <c r="BZ14" i="15"/>
  <c r="BZ15" i="15" s="1"/>
  <c r="BU10" i="15"/>
  <c r="CA10" i="15" s="1"/>
  <c r="BU9" i="15"/>
  <c r="CA9" i="15" s="1"/>
  <c r="BP6" i="15"/>
  <c r="BU8" i="15"/>
  <c r="CA8" i="15" s="1"/>
  <c r="BP5" i="15"/>
  <c r="BU11" i="15"/>
  <c r="CA11" i="15" s="1"/>
  <c r="BU6" i="15"/>
  <c r="CA6" i="15" s="1"/>
  <c r="BP11" i="15"/>
  <c r="AY31" i="15"/>
  <c r="BT32" i="15"/>
  <c r="BI31" i="15"/>
  <c r="BH24" i="11"/>
  <c r="AW25" i="11"/>
  <c r="AQ180" i="11"/>
  <c r="AR180" i="11" s="1"/>
  <c r="D21" i="15"/>
  <c r="A21" i="15"/>
  <c r="AO21" i="15" s="1"/>
  <c r="AQ205" i="11"/>
  <c r="AR205" i="11" s="1"/>
  <c r="AL206" i="11"/>
  <c r="AP206" i="11" s="1"/>
  <c r="AQ206" i="11" s="1"/>
  <c r="AR206" i="11" s="1"/>
  <c r="AM206" i="11"/>
  <c r="AO206" i="11" s="1"/>
  <c r="AM181" i="11"/>
  <c r="AO181" i="11" s="1"/>
  <c r="AL181" i="11"/>
  <c r="AP181" i="11" s="1"/>
  <c r="AQ181" i="11" s="1"/>
  <c r="AR181" i="11" s="1"/>
  <c r="AL8" i="11"/>
  <c r="AM8" i="11"/>
  <c r="AO180" i="11"/>
  <c r="F16" i="11"/>
  <c r="AX17" i="15" l="1"/>
  <c r="AX19" i="15" s="1"/>
  <c r="AZ22" i="15" s="1"/>
  <c r="BB17" i="15"/>
  <c r="BB19" i="15" s="1"/>
  <c r="BD134" i="15" s="1"/>
  <c r="F21" i="15"/>
  <c r="BA17" i="15"/>
  <c r="BA19" i="15" s="1"/>
  <c r="BC30" i="15" s="1"/>
  <c r="AY17" i="15"/>
  <c r="AY19" i="15" s="1"/>
  <c r="BA30" i="15" s="1"/>
  <c r="BI13" i="11" a="1"/>
  <c r="BI13" i="11" s="1"/>
  <c r="G18" i="11"/>
  <c r="AV10" i="11" s="1"/>
  <c r="E18" i="11"/>
  <c r="B19" i="11"/>
  <c r="AY13" i="11"/>
  <c r="AX13" i="11"/>
  <c r="AJ8" i="11"/>
  <c r="BH14" i="11" a="1"/>
  <c r="AQ7" i="11"/>
  <c r="AR7" i="11" s="1"/>
  <c r="AS7" i="11" s="1"/>
  <c r="BA8" i="11"/>
  <c r="BB8" i="11" s="1"/>
  <c r="BC8" i="11" s="1"/>
  <c r="AM186" i="11" a="1"/>
  <c r="AO186" i="11" s="1"/>
  <c r="BX21" i="15"/>
  <c r="BX23" i="15"/>
  <c r="BX25" i="15"/>
  <c r="BX28" i="15"/>
  <c r="BX27" i="15"/>
  <c r="BX24" i="15"/>
  <c r="BX26" i="15"/>
  <c r="BX22" i="15"/>
  <c r="BX29" i="15"/>
  <c r="BX30" i="15"/>
  <c r="BB25" i="15"/>
  <c r="BB22" i="15"/>
  <c r="BB26" i="15"/>
  <c r="BB23" i="15"/>
  <c r="BB21" i="15"/>
  <c r="BB24" i="15"/>
  <c r="BB27" i="15"/>
  <c r="BB28" i="15"/>
  <c r="BB29" i="15"/>
  <c r="AZ28" i="15"/>
  <c r="BO14" i="15"/>
  <c r="BO15" i="15" s="1"/>
  <c r="BV27" i="15"/>
  <c r="BV24" i="15"/>
  <c r="BV28" i="15"/>
  <c r="BV21" i="15"/>
  <c r="BV22" i="15"/>
  <c r="BV23" i="15"/>
  <c r="BV25" i="15"/>
  <c r="BV26" i="15"/>
  <c r="BV29" i="15"/>
  <c r="BV30" i="15"/>
  <c r="BU27" i="15"/>
  <c r="BU22" i="15"/>
  <c r="BU26" i="15"/>
  <c r="BU28" i="15"/>
  <c r="BU24" i="15"/>
  <c r="BU21" i="15"/>
  <c r="BU23" i="15"/>
  <c r="BU25" i="15"/>
  <c r="BU29" i="15"/>
  <c r="BU30" i="15"/>
  <c r="BM25" i="15"/>
  <c r="BM23" i="15"/>
  <c r="BM24" i="15"/>
  <c r="BM26" i="15"/>
  <c r="BM22" i="15"/>
  <c r="BM21" i="15"/>
  <c r="BM27" i="15"/>
  <c r="BM28" i="15"/>
  <c r="BM29" i="15"/>
  <c r="BK25" i="15"/>
  <c r="BK21" i="15"/>
  <c r="BK24" i="15"/>
  <c r="BK26" i="15"/>
  <c r="BK22" i="15"/>
  <c r="BK23" i="15"/>
  <c r="BK27" i="15"/>
  <c r="BK28" i="15"/>
  <c r="BK29" i="15"/>
  <c r="CA5" i="15"/>
  <c r="BY146" i="15"/>
  <c r="BY112" i="15"/>
  <c r="BY48" i="15"/>
  <c r="BY36" i="15"/>
  <c r="BY27" i="15"/>
  <c r="BY24" i="15"/>
  <c r="BY142" i="15"/>
  <c r="BY46" i="15"/>
  <c r="BY40" i="15"/>
  <c r="BY35" i="15"/>
  <c r="BY138" i="15"/>
  <c r="BY42" i="15"/>
  <c r="BY129" i="15"/>
  <c r="BY33" i="15"/>
  <c r="BY124" i="15"/>
  <c r="BY121" i="15"/>
  <c r="BY39" i="15"/>
  <c r="BY140" i="15"/>
  <c r="BY131" i="15"/>
  <c r="BY126" i="15"/>
  <c r="BY25" i="15"/>
  <c r="BY148" i="15"/>
  <c r="BY136" i="15"/>
  <c r="BY127" i="15"/>
  <c r="BY139" i="15"/>
  <c r="BY132" i="15"/>
  <c r="BY141" i="15"/>
  <c r="BY31" i="15"/>
  <c r="BS31" i="15" s="1"/>
  <c r="BY134" i="15"/>
  <c r="BY30" i="15"/>
  <c r="BY145" i="15"/>
  <c r="BY125" i="15"/>
  <c r="BY43" i="15"/>
  <c r="BY29" i="15"/>
  <c r="BY144" i="15"/>
  <c r="BY37" i="15"/>
  <c r="BY137" i="15"/>
  <c r="BY119" i="15"/>
  <c r="BY32" i="15"/>
  <c r="BY114" i="15"/>
  <c r="BY128" i="15"/>
  <c r="BY118" i="15"/>
  <c r="BY28" i="15"/>
  <c r="BY22" i="15"/>
  <c r="BY135" i="15"/>
  <c r="BY113" i="15"/>
  <c r="BY123" i="15"/>
  <c r="BY120" i="15"/>
  <c r="BY115" i="15"/>
  <c r="BY133" i="15"/>
  <c r="BY34" i="15"/>
  <c r="BY38" i="15"/>
  <c r="BY21" i="15"/>
  <c r="BY116" i="15"/>
  <c r="BY111" i="15"/>
  <c r="BY44" i="15"/>
  <c r="BY23" i="15"/>
  <c r="BY143" i="15"/>
  <c r="BY45" i="15"/>
  <c r="BY47" i="15"/>
  <c r="BY147" i="15"/>
  <c r="BY130" i="15"/>
  <c r="BY26" i="15"/>
  <c r="BY41" i="15"/>
  <c r="BY122" i="15"/>
  <c r="BY117" i="15"/>
  <c r="BJ25" i="15"/>
  <c r="BJ21" i="15"/>
  <c r="BJ23" i="15"/>
  <c r="BJ22" i="15"/>
  <c r="BJ24" i="15"/>
  <c r="BJ26" i="15"/>
  <c r="BJ27" i="15"/>
  <c r="BJ28" i="15"/>
  <c r="BJ29" i="15"/>
  <c r="BL25" i="15"/>
  <c r="BL21" i="15"/>
  <c r="BL24" i="15"/>
  <c r="BL26" i="15"/>
  <c r="BL22" i="15"/>
  <c r="BL23" i="15"/>
  <c r="BL27" i="15"/>
  <c r="BL28" i="15"/>
  <c r="BL29" i="15"/>
  <c r="BW27" i="15"/>
  <c r="BW22" i="15"/>
  <c r="BW25" i="15"/>
  <c r="BW24" i="15"/>
  <c r="BW23" i="15"/>
  <c r="BW26" i="15"/>
  <c r="BW21" i="15"/>
  <c r="BW28" i="15"/>
  <c r="BW29" i="15"/>
  <c r="BW30" i="15"/>
  <c r="BN135" i="15"/>
  <c r="BN125" i="15"/>
  <c r="BN124" i="15"/>
  <c r="BN120" i="15"/>
  <c r="BN139" i="15"/>
  <c r="BN136" i="15"/>
  <c r="BN35" i="15"/>
  <c r="BN147" i="15"/>
  <c r="BN130" i="15"/>
  <c r="BN43" i="15"/>
  <c r="BN28" i="15"/>
  <c r="BN33" i="15"/>
  <c r="BN119" i="15"/>
  <c r="BN44" i="15"/>
  <c r="BN47" i="15"/>
  <c r="BN34" i="15"/>
  <c r="BN25" i="15"/>
  <c r="BN112" i="15"/>
  <c r="BN40" i="15"/>
  <c r="BN48" i="15"/>
  <c r="BN116" i="15"/>
  <c r="BN142" i="15"/>
  <c r="BN144" i="15"/>
  <c r="BN137" i="15"/>
  <c r="BN41" i="15"/>
  <c r="BN31" i="15"/>
  <c r="BN24" i="15"/>
  <c r="BN141" i="15"/>
  <c r="BN45" i="15"/>
  <c r="BN39" i="15"/>
  <c r="BN146" i="15"/>
  <c r="BN115" i="15"/>
  <c r="BN46" i="15"/>
  <c r="BN42" i="15"/>
  <c r="BN143" i="15"/>
  <c r="BN126" i="15"/>
  <c r="BN36" i="15"/>
  <c r="BN132" i="15"/>
  <c r="BN32" i="15"/>
  <c r="BN121" i="15"/>
  <c r="BN123" i="15"/>
  <c r="BN23" i="15"/>
  <c r="BN127" i="15"/>
  <c r="BN114" i="15"/>
  <c r="BN22" i="15"/>
  <c r="BN118" i="15"/>
  <c r="BN131" i="15"/>
  <c r="BN128" i="15"/>
  <c r="BN122" i="15"/>
  <c r="BN133" i="15"/>
  <c r="BN37" i="15"/>
  <c r="BN27" i="15"/>
  <c r="BN21" i="15"/>
  <c r="BN145" i="15"/>
  <c r="BN111" i="15"/>
  <c r="BN38" i="15"/>
  <c r="BN26" i="15"/>
  <c r="BN134" i="15"/>
  <c r="BN138" i="15"/>
  <c r="BN113" i="15"/>
  <c r="BN29" i="15"/>
  <c r="BN148" i="15"/>
  <c r="BN129" i="15"/>
  <c r="BN117" i="15"/>
  <c r="BN140" i="15"/>
  <c r="BN30" i="15"/>
  <c r="BH30" i="15" s="1"/>
  <c r="BD132" i="15"/>
  <c r="BD38" i="15"/>
  <c r="BD39" i="15"/>
  <c r="BD127" i="15"/>
  <c r="BD45" i="15"/>
  <c r="BD44" i="15"/>
  <c r="BD117" i="15"/>
  <c r="BD140" i="15"/>
  <c r="BD24" i="15"/>
  <c r="BD23" i="15"/>
  <c r="BD25" i="15"/>
  <c r="BD33" i="15"/>
  <c r="BD35" i="15"/>
  <c r="BD121" i="15"/>
  <c r="BD26" i="15"/>
  <c r="BD139" i="15"/>
  <c r="BD144" i="15"/>
  <c r="BD32" i="15"/>
  <c r="BT33" i="15"/>
  <c r="BU32" i="15"/>
  <c r="BV32" i="15"/>
  <c r="BW32" i="15"/>
  <c r="BX32" i="15"/>
  <c r="BI32" i="15"/>
  <c r="BJ31" i="15"/>
  <c r="BL31" i="15"/>
  <c r="BK31" i="15"/>
  <c r="BM31" i="15"/>
  <c r="AY32" i="15"/>
  <c r="BB31" i="15"/>
  <c r="BH25" i="11"/>
  <c r="AW26" i="11"/>
  <c r="AQ8" i="11"/>
  <c r="AR8" i="11" s="1"/>
  <c r="AS8" i="11" s="1"/>
  <c r="AM211" i="11" a="1"/>
  <c r="AN211" i="11" s="1"/>
  <c r="AM187" i="11" a="1"/>
  <c r="AM212" i="11" a="1"/>
  <c r="C18" i="11"/>
  <c r="D18" i="11"/>
  <c r="AZ26" i="15" l="1"/>
  <c r="BD124" i="15"/>
  <c r="BD120" i="15"/>
  <c r="BD42" i="15"/>
  <c r="BD141" i="15"/>
  <c r="BD112" i="15"/>
  <c r="BD114" i="15"/>
  <c r="BD113" i="15"/>
  <c r="BD30" i="15"/>
  <c r="BD128" i="15"/>
  <c r="AZ25" i="15"/>
  <c r="AZ31" i="15"/>
  <c r="BD29" i="15"/>
  <c r="BD46" i="15"/>
  <c r="BD130" i="15"/>
  <c r="BD40" i="15"/>
  <c r="BD146" i="15"/>
  <c r="BD135" i="15"/>
  <c r="BD125" i="15"/>
  <c r="BD123" i="15"/>
  <c r="AZ30" i="15"/>
  <c r="BA25" i="15"/>
  <c r="BC23" i="15"/>
  <c r="AZ27" i="15"/>
  <c r="AZ21" i="15"/>
  <c r="BC31" i="15"/>
  <c r="AZ23" i="15"/>
  <c r="BC24" i="15"/>
  <c r="BD142" i="15"/>
  <c r="BD148" i="15"/>
  <c r="BD27" i="15"/>
  <c r="BD37" i="15"/>
  <c r="BD111" i="15"/>
  <c r="BD47" i="15"/>
  <c r="BD136" i="15"/>
  <c r="BD116" i="15"/>
  <c r="BD115" i="15"/>
  <c r="BD43" i="15"/>
  <c r="BD137" i="15"/>
  <c r="BD122" i="15"/>
  <c r="BD48" i="15"/>
  <c r="BD138" i="15"/>
  <c r="BD21" i="15"/>
  <c r="BD118" i="15"/>
  <c r="BD36" i="15"/>
  <c r="BD147" i="15"/>
  <c r="BD145" i="15"/>
  <c r="BD129" i="15"/>
  <c r="BD133" i="15"/>
  <c r="BD28" i="15"/>
  <c r="BD41" i="15"/>
  <c r="BD119" i="15"/>
  <c r="BD22" i="15"/>
  <c r="BD143" i="15"/>
  <c r="BD126" i="15"/>
  <c r="BD31" i="15"/>
  <c r="AZ29" i="15"/>
  <c r="AZ24" i="15"/>
  <c r="BD34" i="15"/>
  <c r="BD131" i="15"/>
  <c r="BC29" i="15"/>
  <c r="BC25" i="15"/>
  <c r="BC27" i="15"/>
  <c r="BC21" i="15"/>
  <c r="BC26" i="15"/>
  <c r="BC28" i="15"/>
  <c r="BC22" i="15"/>
  <c r="BA29" i="15"/>
  <c r="BA26" i="15"/>
  <c r="AX26" i="15" s="1"/>
  <c r="BA28" i="15"/>
  <c r="AX28" i="15" s="1"/>
  <c r="BA23" i="15"/>
  <c r="AX23" i="15" s="1"/>
  <c r="BA27" i="15"/>
  <c r="BA21" i="15"/>
  <c r="BA31" i="15"/>
  <c r="BA22" i="15"/>
  <c r="BA24" i="15"/>
  <c r="BJ13" i="11"/>
  <c r="BK13" i="11"/>
  <c r="D19" i="11"/>
  <c r="E19" i="11"/>
  <c r="G19" i="11"/>
  <c r="B20" i="11"/>
  <c r="AN186" i="11"/>
  <c r="AN13" i="11" a="1"/>
  <c r="AN13" i="11" s="1"/>
  <c r="AM186" i="11"/>
  <c r="AW14" i="11" a="1"/>
  <c r="AZ14" i="11" s="1"/>
  <c r="AM14" i="11" a="1"/>
  <c r="AP14" i="11" s="1"/>
  <c r="BI14" i="11"/>
  <c r="BK14" i="11"/>
  <c r="BJ14" i="11"/>
  <c r="BH14" i="11"/>
  <c r="BH29" i="15"/>
  <c r="BH25" i="15"/>
  <c r="BS25" i="15"/>
  <c r="AX30" i="15"/>
  <c r="BH27" i="15"/>
  <c r="BH28" i="15"/>
  <c r="BH22" i="15"/>
  <c r="BS23" i="15"/>
  <c r="BS26" i="15"/>
  <c r="BH23" i="15"/>
  <c r="BS30" i="15"/>
  <c r="BS21" i="15"/>
  <c r="BS22" i="15"/>
  <c r="BH24" i="15"/>
  <c r="BS28" i="15"/>
  <c r="BH26" i="15"/>
  <c r="BH21" i="15"/>
  <c r="BS29" i="15"/>
  <c r="BS24" i="15"/>
  <c r="BS27" i="15"/>
  <c r="BM32" i="15"/>
  <c r="BL32" i="15"/>
  <c r="BI33" i="15"/>
  <c r="BK32" i="15"/>
  <c r="BJ32" i="15"/>
  <c r="BB32" i="15"/>
  <c r="AY33" i="15"/>
  <c r="BA32" i="15"/>
  <c r="BC32" i="15"/>
  <c r="AZ32" i="15"/>
  <c r="BS32" i="15"/>
  <c r="BH31" i="15"/>
  <c r="BT34" i="15"/>
  <c r="BX33" i="15"/>
  <c r="BV33" i="15"/>
  <c r="BW33" i="15"/>
  <c r="BU33" i="15"/>
  <c r="AO211" i="11"/>
  <c r="BH26" i="11"/>
  <c r="AW27" i="11"/>
  <c r="AM211" i="11"/>
  <c r="AM187" i="11"/>
  <c r="AO187" i="11"/>
  <c r="AN187" i="11"/>
  <c r="AM212" i="11"/>
  <c r="AN212" i="11"/>
  <c r="AO212" i="11"/>
  <c r="C19" i="11"/>
  <c r="F18" i="11"/>
  <c r="AX25" i="15" l="1"/>
  <c r="AX31" i="15"/>
  <c r="AX24" i="15"/>
  <c r="AX29" i="15"/>
  <c r="AX22" i="15"/>
  <c r="AX27" i="15"/>
  <c r="AX21" i="15"/>
  <c r="E20" i="11"/>
  <c r="D20" i="11"/>
  <c r="G20" i="11"/>
  <c r="B21" i="11"/>
  <c r="AP13" i="11"/>
  <c r="G22" i="11"/>
  <c r="AV11" i="11"/>
  <c r="AO13" i="11"/>
  <c r="AX14" i="11"/>
  <c r="AY14" i="11"/>
  <c r="AW14" i="11"/>
  <c r="AN14" i="11"/>
  <c r="AO14" i="11"/>
  <c r="AM14" i="11"/>
  <c r="BA33" i="15"/>
  <c r="AY34" i="15"/>
  <c r="BB33" i="15"/>
  <c r="BC33" i="15"/>
  <c r="AZ33" i="15"/>
  <c r="BL33" i="15"/>
  <c r="BM33" i="15"/>
  <c r="BI34" i="15"/>
  <c r="BK33" i="15"/>
  <c r="BJ33" i="15"/>
  <c r="BS33" i="15"/>
  <c r="BX34" i="15"/>
  <c r="BW34" i="15"/>
  <c r="BV34" i="15"/>
  <c r="BU34" i="15"/>
  <c r="BT35" i="15"/>
  <c r="AX32" i="15"/>
  <c r="BH32" i="15"/>
  <c r="BH27" i="11"/>
  <c r="AW28" i="11"/>
  <c r="C20" i="11"/>
  <c r="F19" i="11"/>
  <c r="D21" i="11" l="1"/>
  <c r="E21" i="11"/>
  <c r="BI10" i="11"/>
  <c r="BO10" i="11" s="1"/>
  <c r="BI11" i="11"/>
  <c r="BO11" i="11" s="1"/>
  <c r="AN203" i="11"/>
  <c r="AS203" i="11" s="1"/>
  <c r="AN180" i="11"/>
  <c r="AS180" i="11" s="1"/>
  <c r="AN204" i="11"/>
  <c r="AX9" i="11"/>
  <c r="BD9" i="11" s="1"/>
  <c r="AX11" i="11"/>
  <c r="BD11" i="11" s="1"/>
  <c r="BI6" i="11"/>
  <c r="BO6" i="11" s="1"/>
  <c r="BI5" i="11"/>
  <c r="AN179" i="11"/>
  <c r="AN206" i="11"/>
  <c r="AS206" i="11" s="1"/>
  <c r="AX6" i="11"/>
  <c r="BD6" i="11" s="1"/>
  <c r="AN178" i="11"/>
  <c r="AS178" i="11" s="1"/>
  <c r="BI7" i="11"/>
  <c r="BO7" i="11" s="1"/>
  <c r="AN181" i="11"/>
  <c r="AS181" i="11" s="1"/>
  <c r="AN208" i="11"/>
  <c r="AS208" i="11" s="1"/>
  <c r="AX8" i="11"/>
  <c r="BD8" i="11" s="1"/>
  <c r="AX10" i="11"/>
  <c r="BD10" i="11" s="1"/>
  <c r="BI8" i="11"/>
  <c r="BO8" i="11" s="1"/>
  <c r="AN209" i="11"/>
  <c r="AS209" i="11" s="1"/>
  <c r="AX5" i="11"/>
  <c r="BI9" i="11"/>
  <c r="BO9" i="11" s="1"/>
  <c r="AN207" i="11"/>
  <c r="AS207" i="11" s="1"/>
  <c r="AN205" i="11"/>
  <c r="AS205" i="11" s="1"/>
  <c r="AX7" i="11"/>
  <c r="BD7" i="11" s="1"/>
  <c r="BS34" i="15"/>
  <c r="BX35" i="15"/>
  <c r="BW35" i="15"/>
  <c r="BV35" i="15"/>
  <c r="BU35" i="15"/>
  <c r="BT36" i="15"/>
  <c r="BH33" i="15"/>
  <c r="BA34" i="15"/>
  <c r="AY35" i="15"/>
  <c r="AZ34" i="15"/>
  <c r="BC34" i="15"/>
  <c r="BB34" i="15"/>
  <c r="BL34" i="15"/>
  <c r="BK34" i="15"/>
  <c r="BJ34" i="15"/>
  <c r="BM34" i="15"/>
  <c r="BI35" i="15"/>
  <c r="AX33" i="15"/>
  <c r="BH28" i="11"/>
  <c r="AW29" i="11"/>
  <c r="F20" i="11"/>
  <c r="C21" i="11"/>
  <c r="AM194" i="11" l="1"/>
  <c r="AN194" i="11"/>
  <c r="AS179" i="11"/>
  <c r="BC14" i="11"/>
  <c r="BC15" i="11" s="1"/>
  <c r="BD5" i="11"/>
  <c r="BN14" i="11"/>
  <c r="BN15" i="11" s="1"/>
  <c r="BO5" i="11"/>
  <c r="AS204" i="11"/>
  <c r="AN219" i="11"/>
  <c r="AM219" i="11"/>
  <c r="AX34" i="15"/>
  <c r="BW36" i="15"/>
  <c r="BX36" i="15"/>
  <c r="BV36" i="15"/>
  <c r="BU36" i="15"/>
  <c r="BT37" i="15"/>
  <c r="BH34" i="15"/>
  <c r="BI36" i="15"/>
  <c r="BK35" i="15"/>
  <c r="BJ35" i="15"/>
  <c r="BM35" i="15"/>
  <c r="BL35" i="15"/>
  <c r="AZ35" i="15"/>
  <c r="AY36" i="15"/>
  <c r="BC35" i="15"/>
  <c r="BB35" i="15"/>
  <c r="BA35" i="15"/>
  <c r="BS35" i="15"/>
  <c r="BH29" i="11"/>
  <c r="AW30" i="11"/>
  <c r="F21" i="11"/>
  <c r="AM221" i="11" l="1"/>
  <c r="AN221" i="11"/>
  <c r="AN196" i="11"/>
  <c r="AM196" i="11"/>
  <c r="BK36" i="15"/>
  <c r="BI37" i="15"/>
  <c r="BM36" i="15"/>
  <c r="BL36" i="15"/>
  <c r="BJ36" i="15"/>
  <c r="AY37" i="15"/>
  <c r="AZ36" i="15"/>
  <c r="BA36" i="15"/>
  <c r="BB36" i="15"/>
  <c r="BC36" i="15"/>
  <c r="BH35" i="15"/>
  <c r="BV37" i="15"/>
  <c r="BX37" i="15"/>
  <c r="BW37" i="15"/>
  <c r="BU37" i="15"/>
  <c r="BT38" i="15"/>
  <c r="AX35" i="15"/>
  <c r="BS36" i="15"/>
  <c r="BH30" i="11"/>
  <c r="AW31" i="11"/>
  <c r="D17" i="11"/>
  <c r="C17" i="11"/>
  <c r="A17" i="11"/>
  <c r="AC17" i="11" s="1"/>
  <c r="BH9" i="11" l="1"/>
  <c r="BJ9" i="11" s="1"/>
  <c r="BK9" i="11" s="1"/>
  <c r="BG9" i="11"/>
  <c r="AX36" i="15"/>
  <c r="BC37" i="15"/>
  <c r="BA37" i="15"/>
  <c r="AZ37" i="15"/>
  <c r="AY38" i="15"/>
  <c r="BB37" i="15"/>
  <c r="BI38" i="15"/>
  <c r="BJ37" i="15"/>
  <c r="BM37" i="15"/>
  <c r="BL37" i="15"/>
  <c r="BK37" i="15"/>
  <c r="BT39" i="15"/>
  <c r="BU38" i="15"/>
  <c r="BX38" i="15"/>
  <c r="BW38" i="15"/>
  <c r="BV38" i="15"/>
  <c r="BS37" i="15"/>
  <c r="BH36" i="15"/>
  <c r="BH31" i="11"/>
  <c r="AW32" i="11"/>
  <c r="AO9" i="11"/>
  <c r="AJ9" i="11" s="1"/>
  <c r="AW9" i="11"/>
  <c r="AY9" i="11" s="1"/>
  <c r="AZ9" i="11" s="1"/>
  <c r="AM9" i="11"/>
  <c r="A18" i="11"/>
  <c r="AC18" i="11" s="1"/>
  <c r="F17" i="11"/>
  <c r="AN182" i="11"/>
  <c r="AS182" i="11" s="1"/>
  <c r="AL9" i="11"/>
  <c r="AL207" i="11"/>
  <c r="AP207" i="11" s="1"/>
  <c r="AL182" i="11"/>
  <c r="AP182" i="11" s="1"/>
  <c r="AN9" i="11"/>
  <c r="AM207" i="11"/>
  <c r="AO207" i="11" s="1"/>
  <c r="AM182" i="11"/>
  <c r="AO182" i="11" s="1"/>
  <c r="AX37" i="15" l="1"/>
  <c r="BH37" i="15"/>
  <c r="BG10" i="11"/>
  <c r="BH10" i="11"/>
  <c r="BJ10" i="11" s="1"/>
  <c r="BK10" i="11" s="1"/>
  <c r="BL10" i="11" s="1"/>
  <c r="BM10" i="11" s="1"/>
  <c r="BN10" i="11" s="1"/>
  <c r="AP9" i="11"/>
  <c r="AQ9" i="11" s="1"/>
  <c r="AR9" i="11" s="1"/>
  <c r="AS9" i="11" s="1"/>
  <c r="BL9" i="11"/>
  <c r="BM9" i="11" s="1"/>
  <c r="BN9" i="11" s="1"/>
  <c r="BM38" i="15"/>
  <c r="BJ38" i="15"/>
  <c r="BI39" i="15"/>
  <c r="BL38" i="15"/>
  <c r="BK38" i="15"/>
  <c r="BX39" i="15"/>
  <c r="BW39" i="15"/>
  <c r="BV39" i="15"/>
  <c r="BU39" i="15"/>
  <c r="BT40" i="15"/>
  <c r="BS38" i="15"/>
  <c r="BB38" i="15"/>
  <c r="BA38" i="15"/>
  <c r="AZ38" i="15"/>
  <c r="AY39" i="15"/>
  <c r="BC38" i="15"/>
  <c r="BH32" i="11"/>
  <c r="AW33" i="11"/>
  <c r="BA9" i="11"/>
  <c r="BB9" i="11" s="1"/>
  <c r="BC9" i="11" s="1"/>
  <c r="AL10" i="11"/>
  <c r="AW10" i="11"/>
  <c r="AY10" i="11" s="1"/>
  <c r="AZ10" i="11" s="1"/>
  <c r="AM190" i="11" a="1"/>
  <c r="AM188" i="11" a="1"/>
  <c r="AM189" i="11" a="1"/>
  <c r="AM215" i="11" a="1"/>
  <c r="AM214" i="11" a="1"/>
  <c r="A19" i="11"/>
  <c r="AC19" i="11" s="1"/>
  <c r="AM10" i="11"/>
  <c r="AN10" i="11"/>
  <c r="A20" i="11"/>
  <c r="AL208" i="11"/>
  <c r="AP208" i="11" s="1"/>
  <c r="AQ208" i="11" s="1"/>
  <c r="AR208" i="11" s="1"/>
  <c r="AM183" i="11"/>
  <c r="AO183" i="11" s="1"/>
  <c r="AL183" i="11"/>
  <c r="AP183" i="11" s="1"/>
  <c r="AQ183" i="11" s="1"/>
  <c r="AR183" i="11" s="1"/>
  <c r="AO10" i="11"/>
  <c r="AM208" i="11"/>
  <c r="AO208" i="11" s="1"/>
  <c r="AN183" i="11"/>
  <c r="AS183" i="11" s="1"/>
  <c r="AQ182" i="11"/>
  <c r="AR182" i="11" s="1"/>
  <c r="AQ207" i="11"/>
  <c r="AR207" i="11" s="1"/>
  <c r="AV15" i="11" l="1" a="1"/>
  <c r="AY15" i="11" s="1"/>
  <c r="BG16" i="11" a="1"/>
  <c r="BI16" i="11" s="1"/>
  <c r="BG15" i="11" a="1"/>
  <c r="BH15" i="11" s="1"/>
  <c r="BG17" i="11" a="1"/>
  <c r="BI17" i="11" s="1"/>
  <c r="A21" i="11"/>
  <c r="AC21" i="11" s="1"/>
  <c r="AC20" i="11"/>
  <c r="AL15" i="11" a="1"/>
  <c r="AN15" i="11" s="1"/>
  <c r="BK15" i="11"/>
  <c r="BH11" i="11"/>
  <c r="BJ11" i="11" s="1"/>
  <c r="BK11" i="11" s="1"/>
  <c r="BL11" i="11" s="1"/>
  <c r="BM11" i="11" s="1"/>
  <c r="BN11" i="11" s="1"/>
  <c r="BG11" i="11"/>
  <c r="BA39" i="15"/>
  <c r="AY40" i="15"/>
  <c r="BB39" i="15"/>
  <c r="AZ39" i="15"/>
  <c r="BC39" i="15"/>
  <c r="AX38" i="15"/>
  <c r="BW40" i="15"/>
  <c r="BV40" i="15"/>
  <c r="BT41" i="15"/>
  <c r="BX40" i="15"/>
  <c r="BU40" i="15"/>
  <c r="BH38" i="15"/>
  <c r="BL39" i="15"/>
  <c r="BK39" i="15"/>
  <c r="BJ39" i="15"/>
  <c r="BI40" i="15"/>
  <c r="BM39" i="15"/>
  <c r="BS39" i="15"/>
  <c r="BH33" i="11"/>
  <c r="AW34" i="11"/>
  <c r="AM213" i="11" a="1"/>
  <c r="AN213" i="11" s="1"/>
  <c r="BA10" i="11"/>
  <c r="BB10" i="11" s="1"/>
  <c r="BC10" i="11" s="1"/>
  <c r="AV17" i="11" a="1"/>
  <c r="AV16" i="11" a="1"/>
  <c r="AN11" i="11"/>
  <c r="AW11" i="11"/>
  <c r="AY11" i="11" s="1"/>
  <c r="AZ11" i="11" s="1"/>
  <c r="BA11" i="11" s="1"/>
  <c r="BB11" i="11" s="1"/>
  <c r="BC11" i="11" s="1"/>
  <c r="AP10" i="11"/>
  <c r="AJ10" i="11"/>
  <c r="AM189" i="11"/>
  <c r="AN189" i="11"/>
  <c r="AO189" i="11"/>
  <c r="AM188" i="11"/>
  <c r="AO188" i="11"/>
  <c r="AN188" i="11"/>
  <c r="AN215" i="11"/>
  <c r="AM215" i="11"/>
  <c r="AO215" i="11"/>
  <c r="AM214" i="11"/>
  <c r="AO214" i="11"/>
  <c r="AN214" i="11"/>
  <c r="AM190" i="11"/>
  <c r="AO190" i="11"/>
  <c r="AN190" i="11"/>
  <c r="AM184" i="11"/>
  <c r="AO184" i="11" s="1"/>
  <c r="AL11" i="11"/>
  <c r="A23" i="11"/>
  <c r="AO11" i="11"/>
  <c r="AL184" i="11"/>
  <c r="AP184" i="11" s="1"/>
  <c r="AQ184" i="11" s="1"/>
  <c r="AR184" i="11" s="1"/>
  <c r="AL209" i="11"/>
  <c r="AP209" i="11" s="1"/>
  <c r="AM209" i="11"/>
  <c r="AO209" i="11" s="1"/>
  <c r="AN184" i="11"/>
  <c r="AS184" i="11" s="1"/>
  <c r="AM11" i="11"/>
  <c r="BJ16" i="11" l="1"/>
  <c r="BG16" i="11"/>
  <c r="AV15" i="11"/>
  <c r="BK16" i="11"/>
  <c r="BH16" i="11"/>
  <c r="AX15" i="11"/>
  <c r="AW15" i="11"/>
  <c r="AZ15" i="11"/>
  <c r="BG15" i="11"/>
  <c r="BJ17" i="11"/>
  <c r="BI15" i="11"/>
  <c r="BI19" i="11" s="1"/>
  <c r="BK33" i="11" s="1"/>
  <c r="BK17" i="11"/>
  <c r="BG17" i="11"/>
  <c r="BH17" i="11"/>
  <c r="BJ15" i="11"/>
  <c r="AO15" i="11"/>
  <c r="AP15" i="11"/>
  <c r="AL15" i="11"/>
  <c r="AM15" i="11"/>
  <c r="BH39" i="15"/>
  <c r="AX39" i="15"/>
  <c r="BK19" i="11"/>
  <c r="BG19" i="11"/>
  <c r="BI33" i="11" s="1"/>
  <c r="BJ19" i="11"/>
  <c r="BH19" i="11"/>
  <c r="BJ33" i="11" s="1"/>
  <c r="BK40" i="15"/>
  <c r="BI41" i="15"/>
  <c r="BJ40" i="15"/>
  <c r="BM40" i="15"/>
  <c r="BL40" i="15"/>
  <c r="BS40" i="15"/>
  <c r="AY41" i="15"/>
  <c r="AZ40" i="15"/>
  <c r="BC40" i="15"/>
  <c r="BB40" i="15"/>
  <c r="BA40" i="15"/>
  <c r="BV41" i="15"/>
  <c r="BT42" i="15"/>
  <c r="BU41" i="15"/>
  <c r="BX41" i="15"/>
  <c r="BW41" i="15"/>
  <c r="BH34" i="11"/>
  <c r="AO213" i="11"/>
  <c r="AO218" i="11" s="1"/>
  <c r="AO220" i="11" s="1"/>
  <c r="AM213" i="11"/>
  <c r="AM218" i="11" s="1"/>
  <c r="AM220" i="11" s="1"/>
  <c r="AX19" i="11"/>
  <c r="AZ21" i="11" s="1"/>
  <c r="AZ19" i="11"/>
  <c r="BB21" i="11" s="1"/>
  <c r="AY19" i="11"/>
  <c r="AW35" i="11"/>
  <c r="AZ16" i="11"/>
  <c r="AW16" i="11"/>
  <c r="AV16" i="11"/>
  <c r="AX16" i="11"/>
  <c r="AY16" i="11"/>
  <c r="AX17" i="11"/>
  <c r="AV17" i="11"/>
  <c r="AW17" i="11"/>
  <c r="AZ17" i="11"/>
  <c r="AY17" i="11"/>
  <c r="AW19" i="11"/>
  <c r="AV19" i="11"/>
  <c r="AQ10" i="11"/>
  <c r="AR10" i="11" s="1"/>
  <c r="AS10" i="11" s="1"/>
  <c r="AP11" i="11"/>
  <c r="AQ11" i="11" s="1"/>
  <c r="AR11" i="11" s="1"/>
  <c r="AS11" i="11" s="1"/>
  <c r="AJ11" i="11"/>
  <c r="AQ209" i="11"/>
  <c r="AR209" i="11" s="1"/>
  <c r="AP218" i="11"/>
  <c r="AP220" i="11" s="1"/>
  <c r="AN218" i="11"/>
  <c r="AN220" i="11" s="1"/>
  <c r="AM193" i="11"/>
  <c r="AX40" i="15" l="1"/>
  <c r="BK21" i="11"/>
  <c r="BK23" i="11"/>
  <c r="BK22" i="11"/>
  <c r="BK24" i="11"/>
  <c r="BK25" i="11"/>
  <c r="BK26" i="11"/>
  <c r="BK27" i="11"/>
  <c r="BK28" i="11"/>
  <c r="BK29" i="11"/>
  <c r="BK30" i="11"/>
  <c r="BK31" i="11"/>
  <c r="BK32" i="11"/>
  <c r="BL21" i="11"/>
  <c r="BL23" i="11"/>
  <c r="BL22" i="11"/>
  <c r="BL24" i="11"/>
  <c r="BL25" i="11"/>
  <c r="BL26" i="11"/>
  <c r="BL27" i="11"/>
  <c r="BL28" i="11"/>
  <c r="BL29" i="11"/>
  <c r="BL30" i="11"/>
  <c r="BL31" i="11"/>
  <c r="BL32" i="11"/>
  <c r="BI21" i="11"/>
  <c r="BI22" i="11"/>
  <c r="BI23" i="11"/>
  <c r="BI24" i="11"/>
  <c r="BI25" i="11"/>
  <c r="BI26" i="11"/>
  <c r="BI27" i="11"/>
  <c r="BI28" i="11"/>
  <c r="BI29" i="11"/>
  <c r="BI30" i="11"/>
  <c r="BI31" i="11"/>
  <c r="BI32" i="11"/>
  <c r="BL33" i="11"/>
  <c r="BJ21" i="11"/>
  <c r="BJ22" i="11"/>
  <c r="BJ23" i="11"/>
  <c r="BJ24" i="11"/>
  <c r="BJ25" i="11"/>
  <c r="BJ26" i="11"/>
  <c r="BJ27" i="11"/>
  <c r="BJ28" i="11"/>
  <c r="BJ29" i="11"/>
  <c r="BJ30" i="11"/>
  <c r="BJ31" i="11"/>
  <c r="BJ32" i="11"/>
  <c r="BM26" i="11"/>
  <c r="BM42" i="11"/>
  <c r="BM86" i="11"/>
  <c r="BM102" i="11"/>
  <c r="BM23" i="11"/>
  <c r="BM39" i="11"/>
  <c r="BM83" i="11"/>
  <c r="BM99" i="11"/>
  <c r="BM21" i="11"/>
  <c r="BM41" i="11"/>
  <c r="BM97" i="11"/>
  <c r="BM32" i="11"/>
  <c r="BM48" i="11"/>
  <c r="BM92" i="11"/>
  <c r="BM108" i="11"/>
  <c r="BM85" i="11"/>
  <c r="BM113" i="11"/>
  <c r="BM30" i="11"/>
  <c r="BM46" i="11"/>
  <c r="BM90" i="11"/>
  <c r="BM106" i="11"/>
  <c r="BM27" i="11"/>
  <c r="BM43" i="11"/>
  <c r="BM87" i="11"/>
  <c r="BM103" i="11"/>
  <c r="BM25" i="11"/>
  <c r="BM49" i="11"/>
  <c r="BM109" i="11"/>
  <c r="BM36" i="11"/>
  <c r="BM80" i="11"/>
  <c r="BM96" i="11"/>
  <c r="BM112" i="11"/>
  <c r="BM93" i="11"/>
  <c r="BM38" i="11"/>
  <c r="BM98" i="11"/>
  <c r="BM35" i="11"/>
  <c r="BM79" i="11"/>
  <c r="BM95" i="11"/>
  <c r="BM37" i="11"/>
  <c r="BM28" i="11"/>
  <c r="BM88" i="11"/>
  <c r="BM104" i="11"/>
  <c r="BM105" i="11"/>
  <c r="BM34" i="11"/>
  <c r="BM78" i="11"/>
  <c r="BM94" i="11"/>
  <c r="BM110" i="11"/>
  <c r="BM31" i="11"/>
  <c r="BM47" i="11"/>
  <c r="BM91" i="11"/>
  <c r="BM107" i="11"/>
  <c r="BM29" i="11"/>
  <c r="BM81" i="11"/>
  <c r="BM24" i="11"/>
  <c r="BM40" i="11"/>
  <c r="BM84" i="11"/>
  <c r="BM100" i="11"/>
  <c r="BM33" i="11"/>
  <c r="BM101" i="11"/>
  <c r="BM22" i="11"/>
  <c r="BM82" i="11"/>
  <c r="BM114" i="11"/>
  <c r="BM111" i="11"/>
  <c r="BM89" i="11"/>
  <c r="BM44" i="11"/>
  <c r="BM45" i="11"/>
  <c r="BC41" i="15"/>
  <c r="BB41" i="15"/>
  <c r="AY42" i="15"/>
  <c r="BA41" i="15"/>
  <c r="AZ41" i="15"/>
  <c r="BH40" i="15"/>
  <c r="BS41" i="15"/>
  <c r="BI42" i="15"/>
  <c r="BJ41" i="15"/>
  <c r="BM41" i="15"/>
  <c r="BL41" i="15"/>
  <c r="BK41" i="15"/>
  <c r="BT43" i="15"/>
  <c r="BU42" i="15"/>
  <c r="BX42" i="15"/>
  <c r="BW42" i="15"/>
  <c r="BV42" i="15"/>
  <c r="AZ34" i="11"/>
  <c r="BA21" i="11"/>
  <c r="BH35" i="11"/>
  <c r="BK34" i="11"/>
  <c r="BL34" i="11"/>
  <c r="BI34" i="11"/>
  <c r="BJ34" i="11"/>
  <c r="BA34" i="11"/>
  <c r="BA22" i="11"/>
  <c r="BA23" i="11"/>
  <c r="BA24" i="11"/>
  <c r="BA25" i="11"/>
  <c r="BA26" i="11"/>
  <c r="BA27" i="11"/>
  <c r="BA28" i="11"/>
  <c r="BA29" i="11"/>
  <c r="BA30" i="11"/>
  <c r="BA31" i="11"/>
  <c r="BA32" i="11"/>
  <c r="BA33" i="11"/>
  <c r="BB37" i="11"/>
  <c r="BB42" i="11"/>
  <c r="BB46" i="11"/>
  <c r="BB78" i="11"/>
  <c r="BB82" i="11"/>
  <c r="BB86" i="11"/>
  <c r="BB90" i="11"/>
  <c r="BB94" i="11"/>
  <c r="BB98" i="11"/>
  <c r="BB102" i="11"/>
  <c r="BB106" i="11"/>
  <c r="BB110" i="11"/>
  <c r="BB114" i="11"/>
  <c r="BB41" i="11"/>
  <c r="BB81" i="11"/>
  <c r="BB89" i="11"/>
  <c r="BB97" i="11"/>
  <c r="BB109" i="11"/>
  <c r="BB39" i="11"/>
  <c r="BB43" i="11"/>
  <c r="BB47" i="11"/>
  <c r="BB79" i="11"/>
  <c r="BB83" i="11"/>
  <c r="BB87" i="11"/>
  <c r="BB91" i="11"/>
  <c r="BB95" i="11"/>
  <c r="BB99" i="11"/>
  <c r="BB103" i="11"/>
  <c r="BB107" i="11"/>
  <c r="BB111" i="11"/>
  <c r="BB45" i="11"/>
  <c r="BB85" i="11"/>
  <c r="BB105" i="11"/>
  <c r="BB38" i="11"/>
  <c r="BB40" i="11"/>
  <c r="BB44" i="11"/>
  <c r="BB48" i="11"/>
  <c r="BB80" i="11"/>
  <c r="BB84" i="11"/>
  <c r="BB88" i="11"/>
  <c r="BB92" i="11"/>
  <c r="BB96" i="11"/>
  <c r="BB100" i="11"/>
  <c r="BB104" i="11"/>
  <c r="BB108" i="11"/>
  <c r="BB112" i="11"/>
  <c r="BB49" i="11"/>
  <c r="BB93" i="11"/>
  <c r="BB101" i="11"/>
  <c r="BB113" i="11"/>
  <c r="BB34" i="11"/>
  <c r="BB35" i="11"/>
  <c r="BB36" i="11"/>
  <c r="BB22" i="11"/>
  <c r="BB23" i="11"/>
  <c r="BB24" i="11"/>
  <c r="BB25" i="11"/>
  <c r="BB30" i="11"/>
  <c r="BB31" i="11"/>
  <c r="BB32" i="11"/>
  <c r="BB33" i="11"/>
  <c r="BB26" i="11"/>
  <c r="BB27" i="11"/>
  <c r="BB28" i="11"/>
  <c r="BB29" i="11"/>
  <c r="AZ22" i="11"/>
  <c r="AZ23" i="11"/>
  <c r="AZ24" i="11"/>
  <c r="AZ25" i="11"/>
  <c r="AZ26" i="11"/>
  <c r="AZ27" i="11"/>
  <c r="AZ28" i="11"/>
  <c r="AZ29" i="11"/>
  <c r="AZ30" i="11"/>
  <c r="AZ31" i="11"/>
  <c r="AZ32" i="11"/>
  <c r="AZ33" i="11"/>
  <c r="AY21" i="11"/>
  <c r="AY22" i="11"/>
  <c r="AY23" i="11"/>
  <c r="AY24" i="11"/>
  <c r="AY25" i="11"/>
  <c r="AY26" i="11"/>
  <c r="AY27" i="11"/>
  <c r="AY28" i="11"/>
  <c r="AY29" i="11"/>
  <c r="AY30" i="11"/>
  <c r="AY31" i="11"/>
  <c r="AY32" i="11"/>
  <c r="AY33" i="11"/>
  <c r="AW36" i="11"/>
  <c r="AW37" i="11" s="1"/>
  <c r="AW38" i="11" s="1"/>
  <c r="AW39" i="11" s="1"/>
  <c r="AW40" i="11" s="1"/>
  <c r="AW41" i="11" s="1"/>
  <c r="AW42" i="11" s="1"/>
  <c r="AW43" i="11" s="1"/>
  <c r="AW44" i="11" s="1"/>
  <c r="AW45" i="11" s="1"/>
  <c r="AW46" i="11" s="1"/>
  <c r="AW47" i="11" s="1"/>
  <c r="AW48" i="11" s="1"/>
  <c r="AW49" i="11" s="1"/>
  <c r="AW78" i="11" s="1"/>
  <c r="AW79" i="11" s="1"/>
  <c r="AW80" i="11" s="1"/>
  <c r="AW81" i="11" s="1"/>
  <c r="AW82" i="11" s="1"/>
  <c r="AW83" i="11" s="1"/>
  <c r="AW84" i="11" s="1"/>
  <c r="AW85" i="11" s="1"/>
  <c r="AW86" i="11" s="1"/>
  <c r="BA35" i="11"/>
  <c r="AX35" i="11"/>
  <c r="AY35" i="11"/>
  <c r="AZ35" i="11"/>
  <c r="AX21" i="11"/>
  <c r="AX22" i="11"/>
  <c r="AX23" i="11"/>
  <c r="AX24" i="11"/>
  <c r="AX25" i="11"/>
  <c r="AX26" i="11"/>
  <c r="AX27" i="11"/>
  <c r="AX28" i="11"/>
  <c r="AX29" i="11"/>
  <c r="AX30" i="11"/>
  <c r="AX31" i="11"/>
  <c r="AX32" i="11"/>
  <c r="AX33" i="11"/>
  <c r="AX34" i="11"/>
  <c r="AY34" i="11"/>
  <c r="AL16" i="11" a="1"/>
  <c r="AN16" i="11" s="1"/>
  <c r="AN19" i="11" s="1"/>
  <c r="AP28" i="11" s="1"/>
  <c r="AL17" i="11" a="1"/>
  <c r="AO17" i="11" s="1"/>
  <c r="AQ220" i="11"/>
  <c r="AN222" i="11"/>
  <c r="AM222" i="11"/>
  <c r="AP222" i="11"/>
  <c r="AM197" i="11"/>
  <c r="AM195" i="11"/>
  <c r="AO193" i="11"/>
  <c r="AO195" i="11" s="1"/>
  <c r="AN193" i="11"/>
  <c r="AN197" i="11" s="1"/>
  <c r="AO222" i="11"/>
  <c r="BG33" i="11" l="1"/>
  <c r="BG21" i="11"/>
  <c r="BG24" i="11"/>
  <c r="BG32" i="11"/>
  <c r="BG28" i="11"/>
  <c r="AP35" i="11"/>
  <c r="BG31" i="11"/>
  <c r="BG27" i="11"/>
  <c r="BG23" i="11"/>
  <c r="AP32" i="11"/>
  <c r="BG30" i="11"/>
  <c r="BG26" i="11"/>
  <c r="BG22" i="11"/>
  <c r="BG29" i="11"/>
  <c r="BG25" i="11"/>
  <c r="BB42" i="15"/>
  <c r="BA42" i="15"/>
  <c r="AZ42" i="15"/>
  <c r="AY43" i="15"/>
  <c r="BC42" i="15"/>
  <c r="BS42" i="15"/>
  <c r="BM42" i="15"/>
  <c r="BL42" i="15"/>
  <c r="BK42" i="15"/>
  <c r="BJ42" i="15"/>
  <c r="BI43" i="15"/>
  <c r="BX43" i="15"/>
  <c r="BW43" i="15"/>
  <c r="BT44" i="15"/>
  <c r="BU43" i="15"/>
  <c r="BV43" i="15"/>
  <c r="BH41" i="15"/>
  <c r="AX41" i="15"/>
  <c r="AV29" i="11"/>
  <c r="AV25" i="11"/>
  <c r="AV21" i="11"/>
  <c r="BA41" i="11"/>
  <c r="AZ48" i="11"/>
  <c r="AY45" i="11"/>
  <c r="BA82" i="11"/>
  <c r="BA48" i="11"/>
  <c r="BA39" i="11"/>
  <c r="AX47" i="11"/>
  <c r="AY49" i="11"/>
  <c r="AZ44" i="11"/>
  <c r="AY85" i="11"/>
  <c r="AY41" i="11"/>
  <c r="BA84" i="11"/>
  <c r="BA78" i="11"/>
  <c r="AX43" i="11"/>
  <c r="AX79" i="11"/>
  <c r="AV33" i="11"/>
  <c r="AZ40" i="11"/>
  <c r="AY81" i="11"/>
  <c r="AY38" i="11"/>
  <c r="BA45" i="11"/>
  <c r="AX83" i="11"/>
  <c r="AX39" i="11"/>
  <c r="AZ86" i="11"/>
  <c r="AW87" i="11"/>
  <c r="AZ85" i="11"/>
  <c r="AZ83" i="11"/>
  <c r="AZ81" i="11"/>
  <c r="AZ79" i="11"/>
  <c r="AZ49" i="11"/>
  <c r="AZ47" i="11"/>
  <c r="AZ43" i="11"/>
  <c r="AZ39" i="11"/>
  <c r="AX86" i="11"/>
  <c r="AY84" i="11"/>
  <c r="AY80" i="11"/>
  <c r="AY48" i="11"/>
  <c r="AY44" i="11"/>
  <c r="AY40" i="11"/>
  <c r="BA79" i="11"/>
  <c r="BA44" i="11"/>
  <c r="BA40" i="11"/>
  <c r="AX82" i="11"/>
  <c r="AX78" i="11"/>
  <c r="AX46" i="11"/>
  <c r="AX42" i="11"/>
  <c r="AX38" i="11"/>
  <c r="BH36" i="11"/>
  <c r="BL35" i="11"/>
  <c r="BI35" i="11"/>
  <c r="BJ35" i="11"/>
  <c r="BK35" i="11"/>
  <c r="AZ82" i="11"/>
  <c r="AZ80" i="11"/>
  <c r="AZ46" i="11"/>
  <c r="AZ42" i="11"/>
  <c r="AZ37" i="11"/>
  <c r="AY83" i="11"/>
  <c r="AY79" i="11"/>
  <c r="AY47" i="11"/>
  <c r="AY43" i="11"/>
  <c r="AY39" i="11"/>
  <c r="BA85" i="11"/>
  <c r="BA83" i="11"/>
  <c r="BA81" i="11"/>
  <c r="BA49" i="11"/>
  <c r="BA47" i="11"/>
  <c r="BA43" i="11"/>
  <c r="BA37" i="11"/>
  <c r="AX85" i="11"/>
  <c r="AX81" i="11"/>
  <c r="AX49" i="11"/>
  <c r="AX45" i="11"/>
  <c r="AX41" i="11"/>
  <c r="AX37" i="11"/>
  <c r="BG34" i="11"/>
  <c r="AZ84" i="11"/>
  <c r="AZ78" i="11"/>
  <c r="AZ45" i="11"/>
  <c r="AZ41" i="11"/>
  <c r="AZ38" i="11"/>
  <c r="AY86" i="11"/>
  <c r="AY82" i="11"/>
  <c r="AY78" i="11"/>
  <c r="AY46" i="11"/>
  <c r="AY42" i="11"/>
  <c r="AY37" i="11"/>
  <c r="BA80" i="11"/>
  <c r="BA46" i="11"/>
  <c r="BA42" i="11"/>
  <c r="BA38" i="11"/>
  <c r="AX84" i="11"/>
  <c r="AX80" i="11"/>
  <c r="AX48" i="11"/>
  <c r="AX44" i="11"/>
  <c r="AX40" i="11"/>
  <c r="BA86" i="11"/>
  <c r="AP40" i="11"/>
  <c r="AP23" i="11"/>
  <c r="AP39" i="11"/>
  <c r="AP17" i="11"/>
  <c r="AV34" i="11"/>
  <c r="AV30" i="11"/>
  <c r="AV26" i="11"/>
  <c r="AV22" i="11"/>
  <c r="AV35" i="11"/>
  <c r="AV32" i="11"/>
  <c r="AV28" i="11"/>
  <c r="AV24" i="11"/>
  <c r="AZ36" i="11"/>
  <c r="AX36" i="11"/>
  <c r="AY36" i="11"/>
  <c r="BA36" i="11"/>
  <c r="AV31" i="11"/>
  <c r="AV27" i="11"/>
  <c r="AV23" i="11"/>
  <c r="AP31" i="11"/>
  <c r="AL17" i="11"/>
  <c r="AP24" i="11"/>
  <c r="AN17" i="11"/>
  <c r="AM17" i="11"/>
  <c r="AP27" i="11"/>
  <c r="AM16" i="11"/>
  <c r="AM19" i="11" s="1"/>
  <c r="AM170" i="11" s="1"/>
  <c r="AP36" i="11"/>
  <c r="AP41" i="11"/>
  <c r="AP21" i="11"/>
  <c r="AP25" i="11"/>
  <c r="AP29" i="11"/>
  <c r="AP33" i="11"/>
  <c r="AP37" i="11"/>
  <c r="AN170" i="11"/>
  <c r="AP22" i="11"/>
  <c r="AP26" i="11"/>
  <c r="AP30" i="11"/>
  <c r="AP34" i="11"/>
  <c r="AP38" i="11"/>
  <c r="AP42" i="11"/>
  <c r="AL16" i="11"/>
  <c r="AL19" i="11" s="1"/>
  <c r="AO16" i="11"/>
  <c r="AO19" i="11" s="1"/>
  <c r="AQ43" i="11" s="1"/>
  <c r="AP16" i="11"/>
  <c r="AP19" i="11" s="1"/>
  <c r="AP43" i="11"/>
  <c r="AQ222" i="11"/>
  <c r="AO197" i="11"/>
  <c r="AQ197" i="11" s="1"/>
  <c r="AN195" i="11"/>
  <c r="AX42" i="15" l="1"/>
  <c r="AV85" i="11"/>
  <c r="BA43" i="15"/>
  <c r="AY44" i="15"/>
  <c r="AZ43" i="15"/>
  <c r="BC43" i="15"/>
  <c r="BB43" i="15"/>
  <c r="BS43" i="15"/>
  <c r="BL43" i="15"/>
  <c r="BK43" i="15"/>
  <c r="BI44" i="15"/>
  <c r="BM43" i="15"/>
  <c r="BJ43" i="15"/>
  <c r="BW44" i="15"/>
  <c r="BV44" i="15"/>
  <c r="BU44" i="15"/>
  <c r="BT45" i="15"/>
  <c r="BX44" i="15"/>
  <c r="BH42" i="15"/>
  <c r="AV42" i="11"/>
  <c r="AV80" i="11"/>
  <c r="AV38" i="11"/>
  <c r="AV43" i="11"/>
  <c r="AV82" i="11"/>
  <c r="AV41" i="11"/>
  <c r="AV48" i="11"/>
  <c r="AV39" i="11"/>
  <c r="AV49" i="11"/>
  <c r="AV47" i="11"/>
  <c r="AV44" i="11"/>
  <c r="AV45" i="11"/>
  <c r="AV37" i="11"/>
  <c r="AV81" i="11"/>
  <c r="AV79" i="11"/>
  <c r="AV46" i="11"/>
  <c r="AV40" i="11"/>
  <c r="AV84" i="11"/>
  <c r="AV83" i="11"/>
  <c r="AV78" i="11"/>
  <c r="BG35" i="11"/>
  <c r="AV86" i="11"/>
  <c r="AX87" i="11"/>
  <c r="BA87" i="11"/>
  <c r="AY87" i="11"/>
  <c r="AZ87" i="11"/>
  <c r="AW88" i="11"/>
  <c r="BH37" i="11"/>
  <c r="BJ36" i="11"/>
  <c r="BK36" i="11"/>
  <c r="BI36" i="11"/>
  <c r="BL36" i="11"/>
  <c r="AV36" i="11"/>
  <c r="AO40" i="11"/>
  <c r="AO42" i="11"/>
  <c r="AO33" i="11"/>
  <c r="AO36" i="11"/>
  <c r="AO35" i="11"/>
  <c r="AO28" i="11"/>
  <c r="AO27" i="11"/>
  <c r="AO25" i="11"/>
  <c r="AO34" i="11"/>
  <c r="AO24" i="11"/>
  <c r="AO41" i="11"/>
  <c r="AO31" i="11"/>
  <c r="AO21" i="11"/>
  <c r="AO37" i="11"/>
  <c r="AO22" i="11"/>
  <c r="AO38" i="11"/>
  <c r="AO29" i="11"/>
  <c r="AO30" i="11"/>
  <c r="AO43" i="11"/>
  <c r="AO26" i="11"/>
  <c r="AO32" i="11"/>
  <c r="AO39" i="11"/>
  <c r="AO23" i="11"/>
  <c r="AN41" i="11"/>
  <c r="AN24" i="11"/>
  <c r="AN28" i="11"/>
  <c r="AN32" i="11"/>
  <c r="AN36" i="11"/>
  <c r="AN40" i="11"/>
  <c r="AL170" i="11"/>
  <c r="AO170" i="11" s="1"/>
  <c r="AN22" i="11"/>
  <c r="AN25" i="11"/>
  <c r="AN29" i="11"/>
  <c r="AN33" i="11"/>
  <c r="AN37" i="11"/>
  <c r="AN21" i="11"/>
  <c r="AN30" i="11"/>
  <c r="AN38" i="11"/>
  <c r="AN35" i="11"/>
  <c r="AN42" i="11"/>
  <c r="AN23" i="11"/>
  <c r="AN31" i="11"/>
  <c r="AN39" i="11"/>
  <c r="AN26" i="11"/>
  <c r="AN34" i="11"/>
  <c r="AN27" i="11"/>
  <c r="AN43" i="11"/>
  <c r="AR99" i="11"/>
  <c r="AR43" i="11"/>
  <c r="AR30" i="11"/>
  <c r="AR33" i="11"/>
  <c r="AR37" i="11"/>
  <c r="AR39" i="11"/>
  <c r="AR102" i="11"/>
  <c r="AR105" i="11"/>
  <c r="AR44" i="11"/>
  <c r="AR78" i="11"/>
  <c r="AR112" i="11"/>
  <c r="AR21" i="11"/>
  <c r="AR98" i="11"/>
  <c r="AR101" i="11"/>
  <c r="AR40" i="11"/>
  <c r="AR94" i="11"/>
  <c r="AR87" i="11"/>
  <c r="AR106" i="11"/>
  <c r="AR109" i="11"/>
  <c r="AR48" i="11"/>
  <c r="AR111" i="11"/>
  <c r="AR83" i="11"/>
  <c r="AR86" i="11"/>
  <c r="AR89" i="11"/>
  <c r="AR28" i="11"/>
  <c r="AR113" i="11"/>
  <c r="AR88" i="11"/>
  <c r="AR35" i="11"/>
  <c r="AR82" i="11"/>
  <c r="AR85" i="11"/>
  <c r="AR91" i="11"/>
  <c r="AR34" i="11"/>
  <c r="AR24" i="11"/>
  <c r="AR90" i="11"/>
  <c r="AR32" i="11"/>
  <c r="AR100" i="11"/>
  <c r="AR45" i="11"/>
  <c r="AR81" i="11"/>
  <c r="AR92" i="11"/>
  <c r="AR41" i="11"/>
  <c r="AR97" i="11"/>
  <c r="AR93" i="11"/>
  <c r="AR42" i="11"/>
  <c r="AR79" i="11"/>
  <c r="AR104" i="11"/>
  <c r="AR108" i="11"/>
  <c r="AR49" i="11"/>
  <c r="AR110" i="11"/>
  <c r="AR22" i="11"/>
  <c r="AR31" i="11"/>
  <c r="AR46" i="11"/>
  <c r="AR23" i="11"/>
  <c r="AR27" i="11"/>
  <c r="AR29" i="11"/>
  <c r="AR36" i="11"/>
  <c r="AR114" i="11"/>
  <c r="AR25" i="11"/>
  <c r="AR80" i="11"/>
  <c r="AR95" i="11"/>
  <c r="AR103" i="11"/>
  <c r="AR96" i="11"/>
  <c r="AR38" i="11"/>
  <c r="AR47" i="11"/>
  <c r="AR26" i="11"/>
  <c r="AR107" i="11"/>
  <c r="AR84" i="11"/>
  <c r="AQ21" i="11"/>
  <c r="AQ25" i="11"/>
  <c r="AQ29" i="11"/>
  <c r="AQ33" i="11"/>
  <c r="AQ37" i="11"/>
  <c r="AQ22" i="11"/>
  <c r="AQ26" i="11"/>
  <c r="AQ30" i="11"/>
  <c r="AQ34" i="11"/>
  <c r="AQ38" i="11"/>
  <c r="AQ41" i="11"/>
  <c r="AQ23" i="11"/>
  <c r="AQ27" i="11"/>
  <c r="AQ31" i="11"/>
  <c r="AQ35" i="11"/>
  <c r="AQ24" i="11"/>
  <c r="AQ39" i="11"/>
  <c r="AQ42" i="11"/>
  <c r="AQ28" i="11"/>
  <c r="AQ40" i="11"/>
  <c r="AQ32" i="11"/>
  <c r="AQ36" i="11"/>
  <c r="AP44" i="11"/>
  <c r="AQ44" i="11"/>
  <c r="AN44" i="11"/>
  <c r="AO44" i="11"/>
  <c r="AQ195" i="11"/>
  <c r="AL43" i="11" l="1"/>
  <c r="BV45" i="15"/>
  <c r="BT46" i="15"/>
  <c r="BU45" i="15"/>
  <c r="BX45" i="15"/>
  <c r="BW45" i="15"/>
  <c r="BH43" i="15"/>
  <c r="AX43" i="15"/>
  <c r="BS44" i="15"/>
  <c r="AY45" i="15"/>
  <c r="AZ44" i="15"/>
  <c r="BC44" i="15"/>
  <c r="BB44" i="15"/>
  <c r="BA44" i="15"/>
  <c r="BK44" i="15"/>
  <c r="BI45" i="15"/>
  <c r="BJ44" i="15"/>
  <c r="BM44" i="15"/>
  <c r="BL44" i="15"/>
  <c r="BG36" i="11"/>
  <c r="BA88" i="11"/>
  <c r="AW89" i="11"/>
  <c r="AY88" i="11"/>
  <c r="AX88" i="11"/>
  <c r="AZ88" i="11"/>
  <c r="AV87" i="11"/>
  <c r="BH38" i="11"/>
  <c r="BI37" i="11"/>
  <c r="BJ37" i="11"/>
  <c r="BK37" i="11"/>
  <c r="BL37" i="11"/>
  <c r="AL41" i="11"/>
  <c r="AL39" i="11"/>
  <c r="AL37" i="11"/>
  <c r="AL32" i="11"/>
  <c r="AL28" i="11"/>
  <c r="AL35" i="11"/>
  <c r="AL22" i="11"/>
  <c r="AL27" i="11"/>
  <c r="AL34" i="11"/>
  <c r="AL23" i="11"/>
  <c r="AL30" i="11"/>
  <c r="AL29" i="11"/>
  <c r="AL40" i="11"/>
  <c r="AL24" i="11"/>
  <c r="AL31" i="11"/>
  <c r="AL38" i="11"/>
  <c r="AL33" i="11"/>
  <c r="AL26" i="11"/>
  <c r="AL42" i="11"/>
  <c r="AL21" i="11"/>
  <c r="AL25" i="11"/>
  <c r="AL36" i="11"/>
  <c r="AO45" i="11"/>
  <c r="AN45" i="11"/>
  <c r="AP45" i="11"/>
  <c r="AQ45" i="11"/>
  <c r="AL44" i="11"/>
  <c r="BH44" i="15" l="1"/>
  <c r="BI46" i="15"/>
  <c r="BJ45" i="15"/>
  <c r="BM45" i="15"/>
  <c r="BL45" i="15"/>
  <c r="BK45" i="15"/>
  <c r="BS45" i="15"/>
  <c r="AX44" i="15"/>
  <c r="BT47" i="15"/>
  <c r="BU46" i="15"/>
  <c r="BX46" i="15"/>
  <c r="BV46" i="15"/>
  <c r="BW46" i="15"/>
  <c r="BC45" i="15"/>
  <c r="BB45" i="15"/>
  <c r="BA45" i="15"/>
  <c r="AZ45" i="15"/>
  <c r="AY46" i="15"/>
  <c r="AX89" i="11"/>
  <c r="AZ89" i="11"/>
  <c r="AY89" i="11"/>
  <c r="BA89" i="11"/>
  <c r="AW90" i="11"/>
  <c r="BH39" i="11"/>
  <c r="BL38" i="11"/>
  <c r="BI38" i="11"/>
  <c r="BK38" i="11"/>
  <c r="BJ38" i="11"/>
  <c r="BG37" i="11"/>
  <c r="AV88" i="11"/>
  <c r="AL45" i="11"/>
  <c r="AN46" i="11"/>
  <c r="AP46" i="11"/>
  <c r="AQ46" i="11"/>
  <c r="AO46" i="11"/>
  <c r="AX45" i="15" l="1"/>
  <c r="BG38" i="11"/>
  <c r="BX47" i="15"/>
  <c r="BW47" i="15"/>
  <c r="BV47" i="15"/>
  <c r="BU47" i="15"/>
  <c r="BT48" i="15"/>
  <c r="BH45" i="15"/>
  <c r="BB46" i="15"/>
  <c r="BA46" i="15"/>
  <c r="AY47" i="15"/>
  <c r="BC46" i="15"/>
  <c r="AZ46" i="15"/>
  <c r="BS46" i="15"/>
  <c r="BM46" i="15"/>
  <c r="BL46" i="15"/>
  <c r="BI47" i="15"/>
  <c r="BK46" i="15"/>
  <c r="BJ46" i="15"/>
  <c r="BH40" i="11"/>
  <c r="BL39" i="11"/>
  <c r="BK39" i="11"/>
  <c r="BI39" i="11"/>
  <c r="BJ39" i="11"/>
  <c r="AY90" i="11"/>
  <c r="AZ90" i="11"/>
  <c r="AW91" i="11"/>
  <c r="BA90" i="11"/>
  <c r="AX90" i="11"/>
  <c r="AV89" i="11"/>
  <c r="AQ47" i="11"/>
  <c r="AP47" i="11"/>
  <c r="AN47" i="11"/>
  <c r="AO47" i="11"/>
  <c r="AL46" i="11"/>
  <c r="BS47" i="15" l="1"/>
  <c r="BL47" i="15"/>
  <c r="BK47" i="15"/>
  <c r="BJ47" i="15"/>
  <c r="BI48" i="15"/>
  <c r="BM47" i="15"/>
  <c r="AX46" i="15"/>
  <c r="BH46" i="15"/>
  <c r="BA47" i="15"/>
  <c r="AY48" i="15"/>
  <c r="AZ47" i="15"/>
  <c r="BC47" i="15"/>
  <c r="BB47" i="15"/>
  <c r="BW48" i="15"/>
  <c r="BV48" i="15"/>
  <c r="BT111" i="15"/>
  <c r="BX48" i="15"/>
  <c r="BU48" i="15"/>
  <c r="BG39" i="11"/>
  <c r="AZ91" i="11"/>
  <c r="AW92" i="11"/>
  <c r="BA91" i="11"/>
  <c r="AX91" i="11"/>
  <c r="AY91" i="11"/>
  <c r="AV90" i="11"/>
  <c r="BH41" i="11"/>
  <c r="BK40" i="11"/>
  <c r="BL40" i="11"/>
  <c r="BJ40" i="11"/>
  <c r="BI40" i="11"/>
  <c r="AL47" i="11"/>
  <c r="AQ48" i="11"/>
  <c r="AP48" i="11"/>
  <c r="AN48" i="11"/>
  <c r="AO48" i="11"/>
  <c r="BH47" i="15" l="1"/>
  <c r="BV111" i="15"/>
  <c r="BT112" i="15"/>
  <c r="BU111" i="15"/>
  <c r="BW111" i="15"/>
  <c r="BX111" i="15"/>
  <c r="AX47" i="15"/>
  <c r="BK48" i="15"/>
  <c r="BI111" i="15"/>
  <c r="BJ48" i="15"/>
  <c r="BM48" i="15"/>
  <c r="BL48" i="15"/>
  <c r="BS48" i="15"/>
  <c r="AY111" i="15"/>
  <c r="AZ48" i="15"/>
  <c r="BC48" i="15"/>
  <c r="BB48" i="15"/>
  <c r="BA48" i="15"/>
  <c r="AV91" i="11"/>
  <c r="BG40" i="11"/>
  <c r="BH42" i="11"/>
  <c r="BL41" i="11"/>
  <c r="BK41" i="11"/>
  <c r="BI41" i="11"/>
  <c r="BJ41" i="11"/>
  <c r="BA92" i="11"/>
  <c r="AY92" i="11"/>
  <c r="AX92" i="11"/>
  <c r="AZ92" i="11"/>
  <c r="AW93" i="11"/>
  <c r="AL48" i="11"/>
  <c r="AO49" i="11"/>
  <c r="AP49" i="11"/>
  <c r="AQ49" i="11"/>
  <c r="AN49" i="11"/>
  <c r="AX48" i="15" l="1"/>
  <c r="BT113" i="15"/>
  <c r="BU112" i="15"/>
  <c r="BX112" i="15"/>
  <c r="BW112" i="15"/>
  <c r="BV112" i="15"/>
  <c r="BI112" i="15"/>
  <c r="BJ111" i="15"/>
  <c r="BM111" i="15"/>
  <c r="BL111" i="15"/>
  <c r="BK111" i="15"/>
  <c r="BS111" i="15"/>
  <c r="BC111" i="15"/>
  <c r="BB111" i="15"/>
  <c r="AY112" i="15"/>
  <c r="BA111" i="15"/>
  <c r="AZ111" i="15"/>
  <c r="BH48" i="15"/>
  <c r="AZ93" i="11"/>
  <c r="AY93" i="11"/>
  <c r="AW94" i="11"/>
  <c r="BA93" i="11"/>
  <c r="AX93" i="11"/>
  <c r="BH43" i="11"/>
  <c r="BI42" i="11"/>
  <c r="BL42" i="11"/>
  <c r="BJ42" i="11"/>
  <c r="BK42" i="11"/>
  <c r="AV92" i="11"/>
  <c r="BG41" i="11"/>
  <c r="AL49" i="11"/>
  <c r="AO78" i="11"/>
  <c r="AN78" i="11"/>
  <c r="AP78" i="11"/>
  <c r="AQ78" i="11"/>
  <c r="BH111" i="15" l="1"/>
  <c r="BM112" i="15"/>
  <c r="BL112" i="15"/>
  <c r="BK112" i="15"/>
  <c r="BJ112" i="15"/>
  <c r="BI113" i="15"/>
  <c r="BS112" i="15"/>
  <c r="BX113" i="15"/>
  <c r="BW113" i="15"/>
  <c r="BT114" i="15"/>
  <c r="BV113" i="15"/>
  <c r="BU113" i="15"/>
  <c r="BB112" i="15"/>
  <c r="BA112" i="15"/>
  <c r="AZ112" i="15"/>
  <c r="AY113" i="15"/>
  <c r="BC112" i="15"/>
  <c r="AX111" i="15"/>
  <c r="BG42" i="11"/>
  <c r="AW95" i="11"/>
  <c r="BA94" i="11"/>
  <c r="AZ94" i="11"/>
  <c r="AX94" i="11"/>
  <c r="AY94" i="11"/>
  <c r="BH44" i="11"/>
  <c r="BI43" i="11"/>
  <c r="BL43" i="11"/>
  <c r="BJ43" i="11"/>
  <c r="BK43" i="11"/>
  <c r="AV93" i="11"/>
  <c r="AL78" i="11"/>
  <c r="AN79" i="11"/>
  <c r="AQ79" i="11"/>
  <c r="AO79" i="11"/>
  <c r="AP79" i="11"/>
  <c r="BH112" i="15" l="1"/>
  <c r="BA113" i="15"/>
  <c r="AY114" i="15"/>
  <c r="AZ113" i="15"/>
  <c r="BC113" i="15"/>
  <c r="BB113" i="15"/>
  <c r="AX112" i="15"/>
  <c r="BS113" i="15"/>
  <c r="BW114" i="15"/>
  <c r="BV114" i="15"/>
  <c r="BU114" i="15"/>
  <c r="BT115" i="15"/>
  <c r="BX114" i="15"/>
  <c r="BL113" i="15"/>
  <c r="BK113" i="15"/>
  <c r="BI114" i="15"/>
  <c r="BM113" i="15"/>
  <c r="BJ113" i="15"/>
  <c r="BG43" i="11"/>
  <c r="BH45" i="11"/>
  <c r="BL44" i="11"/>
  <c r="BK44" i="11"/>
  <c r="BI44" i="11"/>
  <c r="BJ44" i="11"/>
  <c r="AZ95" i="11"/>
  <c r="AW96" i="11"/>
  <c r="AX95" i="11"/>
  <c r="BA95" i="11"/>
  <c r="AY95" i="11"/>
  <c r="AV94" i="11"/>
  <c r="AL79" i="11"/>
  <c r="AQ80" i="11"/>
  <c r="AP80" i="11"/>
  <c r="AN80" i="11"/>
  <c r="AO80" i="11"/>
  <c r="BS114" i="15" l="1"/>
  <c r="AY115" i="15"/>
  <c r="AZ114" i="15"/>
  <c r="BC114" i="15"/>
  <c r="BB114" i="15"/>
  <c r="BA114" i="15"/>
  <c r="BK114" i="15"/>
  <c r="BI115" i="15"/>
  <c r="BJ114" i="15"/>
  <c r="BM114" i="15"/>
  <c r="BL114" i="15"/>
  <c r="BT116" i="15"/>
  <c r="BV115" i="15"/>
  <c r="BU115" i="15"/>
  <c r="BX115" i="15"/>
  <c r="BW115" i="15"/>
  <c r="AX113" i="15"/>
  <c r="BH113" i="15"/>
  <c r="AV95" i="11"/>
  <c r="BG44" i="11"/>
  <c r="BA96" i="11"/>
  <c r="AY96" i="11"/>
  <c r="AX96" i="11"/>
  <c r="AZ96" i="11"/>
  <c r="AW97" i="11"/>
  <c r="BH46" i="11"/>
  <c r="BK45" i="11"/>
  <c r="BI45" i="11"/>
  <c r="BL45" i="11"/>
  <c r="BJ45" i="11"/>
  <c r="AL80" i="11"/>
  <c r="AP81" i="11"/>
  <c r="AN81" i="11"/>
  <c r="AQ81" i="11"/>
  <c r="AO81" i="11"/>
  <c r="BH114" i="15" l="1"/>
  <c r="BT117" i="15"/>
  <c r="BU116" i="15"/>
  <c r="BX116" i="15"/>
  <c r="BW116" i="15"/>
  <c r="BV116" i="15"/>
  <c r="AX114" i="15"/>
  <c r="BI116" i="15"/>
  <c r="BJ115" i="15"/>
  <c r="BM115" i="15"/>
  <c r="BL115" i="15"/>
  <c r="BK115" i="15"/>
  <c r="BS115" i="15"/>
  <c r="BC115" i="15"/>
  <c r="BB115" i="15"/>
  <c r="BA115" i="15"/>
  <c r="AZ115" i="15"/>
  <c r="AY116" i="15"/>
  <c r="AV96" i="11"/>
  <c r="BG45" i="11"/>
  <c r="BH47" i="11"/>
  <c r="BK46" i="11"/>
  <c r="BI46" i="11"/>
  <c r="BJ46" i="11"/>
  <c r="BL46" i="11"/>
  <c r="AZ97" i="11"/>
  <c r="AY97" i="11"/>
  <c r="AW98" i="11"/>
  <c r="BA97" i="11"/>
  <c r="AX97" i="11"/>
  <c r="AL81" i="11"/>
  <c r="AO82" i="11"/>
  <c r="AP82" i="11"/>
  <c r="AQ82" i="11"/>
  <c r="AN82" i="11"/>
  <c r="AX115" i="15" l="1"/>
  <c r="BH115" i="15"/>
  <c r="BM116" i="15"/>
  <c r="BK116" i="15"/>
  <c r="BJ116" i="15"/>
  <c r="BI117" i="15"/>
  <c r="BL116" i="15"/>
  <c r="BS116" i="15"/>
  <c r="BB116" i="15"/>
  <c r="BC116" i="15"/>
  <c r="BA116" i="15"/>
  <c r="AZ116" i="15"/>
  <c r="AY117" i="15"/>
  <c r="BX117" i="15"/>
  <c r="BU117" i="15"/>
  <c r="BT118" i="15"/>
  <c r="BW117" i="15"/>
  <c r="BV117" i="15"/>
  <c r="BG46" i="11"/>
  <c r="AX98" i="11"/>
  <c r="AY98" i="11"/>
  <c r="AZ98" i="11"/>
  <c r="AW99" i="11"/>
  <c r="BA98" i="11"/>
  <c r="AV97" i="11"/>
  <c r="BH48" i="11"/>
  <c r="BJ47" i="11"/>
  <c r="BL47" i="11"/>
  <c r="BK47" i="11"/>
  <c r="BI47" i="11"/>
  <c r="AN83" i="11"/>
  <c r="AO83" i="11"/>
  <c r="AP83" i="11"/>
  <c r="AQ83" i="11"/>
  <c r="AL82" i="11"/>
  <c r="BA117" i="15" l="1"/>
  <c r="BC117" i="15"/>
  <c r="BB117" i="15"/>
  <c r="AZ117" i="15"/>
  <c r="AY118" i="15"/>
  <c r="BW118" i="15"/>
  <c r="BU118" i="15"/>
  <c r="BT119" i="15"/>
  <c r="BX118" i="15"/>
  <c r="BV118" i="15"/>
  <c r="AX116" i="15"/>
  <c r="BS117" i="15"/>
  <c r="BL117" i="15"/>
  <c r="BK117" i="15"/>
  <c r="BJ117" i="15"/>
  <c r="BI118" i="15"/>
  <c r="BM117" i="15"/>
  <c r="BH116" i="15"/>
  <c r="AX99" i="11"/>
  <c r="BA99" i="11"/>
  <c r="AY99" i="11"/>
  <c r="AW100" i="11"/>
  <c r="AZ99" i="11"/>
  <c r="BH49" i="11"/>
  <c r="BI48" i="11"/>
  <c r="BK48" i="11"/>
  <c r="BJ48" i="11"/>
  <c r="BL48" i="11"/>
  <c r="BG47" i="11"/>
  <c r="AV98" i="11"/>
  <c r="AL83" i="11"/>
  <c r="AP84" i="11"/>
  <c r="AQ84" i="11"/>
  <c r="AN84" i="11"/>
  <c r="AO84" i="11"/>
  <c r="AX117" i="15" l="1"/>
  <c r="BH117" i="15"/>
  <c r="BS118" i="15"/>
  <c r="BK118" i="15"/>
  <c r="BL118" i="15"/>
  <c r="BJ118" i="15"/>
  <c r="BI119" i="15"/>
  <c r="BM118" i="15"/>
  <c r="BV119" i="15"/>
  <c r="BU119" i="15"/>
  <c r="BT120" i="15"/>
  <c r="BX119" i="15"/>
  <c r="BW119" i="15"/>
  <c r="AY119" i="15"/>
  <c r="AZ118" i="15"/>
  <c r="BC118" i="15"/>
  <c r="BB118" i="15"/>
  <c r="BA118" i="15"/>
  <c r="BG48" i="11"/>
  <c r="BA100" i="11"/>
  <c r="AY100" i="11"/>
  <c r="AX100" i="11"/>
  <c r="AZ100" i="11"/>
  <c r="AW101" i="11"/>
  <c r="BH78" i="11"/>
  <c r="BK49" i="11"/>
  <c r="BL49" i="11"/>
  <c r="BJ49" i="11"/>
  <c r="BI49" i="11"/>
  <c r="AV99" i="11"/>
  <c r="AO85" i="11"/>
  <c r="AP85" i="11"/>
  <c r="AQ85" i="11"/>
  <c r="AN85" i="11"/>
  <c r="AL84" i="11"/>
  <c r="BS119" i="15" l="1"/>
  <c r="BH118" i="15"/>
  <c r="AX118" i="15"/>
  <c r="BT121" i="15"/>
  <c r="BU120" i="15"/>
  <c r="BV120" i="15"/>
  <c r="BX120" i="15"/>
  <c r="BW120" i="15"/>
  <c r="BI120" i="15"/>
  <c r="BJ119" i="15"/>
  <c r="BL119" i="15"/>
  <c r="BK119" i="15"/>
  <c r="BM119" i="15"/>
  <c r="BC119" i="15"/>
  <c r="AY120" i="15"/>
  <c r="BB119" i="15"/>
  <c r="BA119" i="15"/>
  <c r="AZ119" i="15"/>
  <c r="AV100" i="11"/>
  <c r="BH79" i="11"/>
  <c r="BJ78" i="11"/>
  <c r="BK78" i="11"/>
  <c r="BL78" i="11"/>
  <c r="BI78" i="11"/>
  <c r="BG49" i="11"/>
  <c r="AW102" i="11"/>
  <c r="AY101" i="11"/>
  <c r="BA101" i="11"/>
  <c r="AX101" i="11"/>
  <c r="AZ101" i="11"/>
  <c r="AL85" i="11"/>
  <c r="AN86" i="11"/>
  <c r="AO86" i="11"/>
  <c r="AP86" i="11"/>
  <c r="AQ86" i="11"/>
  <c r="BB120" i="15" l="1"/>
  <c r="AY121" i="15"/>
  <c r="BC120" i="15"/>
  <c r="BA120" i="15"/>
  <c r="AZ120" i="15"/>
  <c r="BH119" i="15"/>
  <c r="BX121" i="15"/>
  <c r="BV121" i="15"/>
  <c r="BU121" i="15"/>
  <c r="BW121" i="15"/>
  <c r="BT122" i="15"/>
  <c r="AX119" i="15"/>
  <c r="BM120" i="15"/>
  <c r="BL120" i="15"/>
  <c r="BK120" i="15"/>
  <c r="BJ120" i="15"/>
  <c r="BI121" i="15"/>
  <c r="BS120" i="15"/>
  <c r="AW103" i="11"/>
  <c r="AZ102" i="11"/>
  <c r="AX102" i="11"/>
  <c r="BA102" i="11"/>
  <c r="AY102" i="11"/>
  <c r="AV101" i="11"/>
  <c r="BG78" i="11"/>
  <c r="BH80" i="11"/>
  <c r="BJ79" i="11"/>
  <c r="BK79" i="11"/>
  <c r="BI79" i="11"/>
  <c r="BL79" i="11"/>
  <c r="AL86" i="11"/>
  <c r="AQ87" i="11"/>
  <c r="AO87" i="11"/>
  <c r="AP87" i="11"/>
  <c r="AN87" i="11"/>
  <c r="BH120" i="15" l="1"/>
  <c r="BW122" i="15"/>
  <c r="BV122" i="15"/>
  <c r="BU122" i="15"/>
  <c r="BX122" i="15"/>
  <c r="BT123" i="15"/>
  <c r="BA121" i="15"/>
  <c r="AY122" i="15"/>
  <c r="BC121" i="15"/>
  <c r="BB121" i="15"/>
  <c r="AZ121" i="15"/>
  <c r="BL121" i="15"/>
  <c r="BM121" i="15"/>
  <c r="BK121" i="15"/>
  <c r="BJ121" i="15"/>
  <c r="BI122" i="15"/>
  <c r="BS121" i="15"/>
  <c r="AX120" i="15"/>
  <c r="BG79" i="11"/>
  <c r="AV102" i="11"/>
  <c r="BH81" i="11"/>
  <c r="BK80" i="11"/>
  <c r="BI80" i="11"/>
  <c r="BJ80" i="11"/>
  <c r="BL80" i="11"/>
  <c r="AX103" i="11"/>
  <c r="BA103" i="11"/>
  <c r="AY103" i="11"/>
  <c r="AZ103" i="11"/>
  <c r="AW104" i="11"/>
  <c r="AL87" i="11"/>
  <c r="AQ88" i="11"/>
  <c r="AN88" i="11"/>
  <c r="AO88" i="11"/>
  <c r="AP88" i="11"/>
  <c r="BK122" i="15" l="1"/>
  <c r="BM122" i="15"/>
  <c r="BL122" i="15"/>
  <c r="BJ122" i="15"/>
  <c r="BI123" i="15"/>
  <c r="AY123" i="15"/>
  <c r="AZ122" i="15"/>
  <c r="BC122" i="15"/>
  <c r="BB122" i="15"/>
  <c r="BA122" i="15"/>
  <c r="BH121" i="15"/>
  <c r="AX121" i="15"/>
  <c r="BS122" i="15"/>
  <c r="BV123" i="15"/>
  <c r="BT124" i="15"/>
  <c r="BW123" i="15"/>
  <c r="BU123" i="15"/>
  <c r="BX123" i="15"/>
  <c r="BG80" i="11"/>
  <c r="AV103" i="11"/>
  <c r="BA104" i="11"/>
  <c r="AX104" i="11"/>
  <c r="AZ104" i="11"/>
  <c r="AY104" i="11"/>
  <c r="AW105" i="11"/>
  <c r="BH82" i="11"/>
  <c r="BI81" i="11"/>
  <c r="BJ81" i="11"/>
  <c r="BK81" i="11"/>
  <c r="BL81" i="11"/>
  <c r="AL88" i="11"/>
  <c r="AP89" i="11"/>
  <c r="AQ89" i="11"/>
  <c r="AN89" i="11"/>
  <c r="AO89" i="11"/>
  <c r="BH122" i="15" l="1"/>
  <c r="AX122" i="15"/>
  <c r="BC123" i="15"/>
  <c r="AZ123" i="15"/>
  <c r="AY124" i="15"/>
  <c r="BB123" i="15"/>
  <c r="BA123" i="15"/>
  <c r="BT125" i="15"/>
  <c r="BU124" i="15"/>
  <c r="BX124" i="15"/>
  <c r="BW124" i="15"/>
  <c r="BV124" i="15"/>
  <c r="BS123" i="15"/>
  <c r="BI124" i="15"/>
  <c r="BJ123" i="15"/>
  <c r="BM123" i="15"/>
  <c r="BL123" i="15"/>
  <c r="BK123" i="15"/>
  <c r="AV104" i="11"/>
  <c r="BG81" i="11"/>
  <c r="BA105" i="11"/>
  <c r="AX105" i="11"/>
  <c r="AZ105" i="11"/>
  <c r="AY105" i="11"/>
  <c r="AW106" i="11"/>
  <c r="BH83" i="11"/>
  <c r="BK82" i="11"/>
  <c r="BL82" i="11"/>
  <c r="BJ82" i="11"/>
  <c r="BI82" i="11"/>
  <c r="AO90" i="11"/>
  <c r="AP90" i="11"/>
  <c r="AQ90" i="11"/>
  <c r="AN90" i="11"/>
  <c r="AL89" i="11"/>
  <c r="AX123" i="15" l="1"/>
  <c r="BS124" i="15"/>
  <c r="BB124" i="15"/>
  <c r="BA124" i="15"/>
  <c r="AZ124" i="15"/>
  <c r="AY125" i="15"/>
  <c r="BC124" i="15"/>
  <c r="BH123" i="15"/>
  <c r="BX125" i="15"/>
  <c r="BW125" i="15"/>
  <c r="BT126" i="15"/>
  <c r="BV125" i="15"/>
  <c r="BU125" i="15"/>
  <c r="BM124" i="15"/>
  <c r="BL124" i="15"/>
  <c r="BK124" i="15"/>
  <c r="BJ124" i="15"/>
  <c r="BI125" i="15"/>
  <c r="AV105" i="11"/>
  <c r="BG82" i="11"/>
  <c r="AX106" i="11"/>
  <c r="AY106" i="11"/>
  <c r="BA106" i="11"/>
  <c r="AW107" i="11"/>
  <c r="AZ106" i="11"/>
  <c r="BH84" i="11"/>
  <c r="BI83" i="11"/>
  <c r="BJ83" i="11"/>
  <c r="BK83" i="11"/>
  <c r="BL83" i="11"/>
  <c r="AL90" i="11"/>
  <c r="AQ91" i="11"/>
  <c r="AN91" i="11"/>
  <c r="AP91" i="11"/>
  <c r="AO91" i="11"/>
  <c r="AX124" i="15" l="1"/>
  <c r="BL125" i="15"/>
  <c r="BK125" i="15"/>
  <c r="BI126" i="15"/>
  <c r="BM125" i="15"/>
  <c r="BJ125" i="15"/>
  <c r="BA125" i="15"/>
  <c r="AY126" i="15"/>
  <c r="AZ125" i="15"/>
  <c r="BC125" i="15"/>
  <c r="BB125" i="15"/>
  <c r="BH124" i="15"/>
  <c r="BS125" i="15"/>
  <c r="BW126" i="15"/>
  <c r="BV126" i="15"/>
  <c r="BU126" i="15"/>
  <c r="BT127" i="15"/>
  <c r="BX126" i="15"/>
  <c r="BG83" i="11"/>
  <c r="BH85" i="11"/>
  <c r="BI84" i="11"/>
  <c r="BJ84" i="11"/>
  <c r="BK84" i="11"/>
  <c r="BL84" i="11"/>
  <c r="AV106" i="11"/>
  <c r="AW108" i="11"/>
  <c r="BA107" i="11"/>
  <c r="AY107" i="11"/>
  <c r="AX107" i="11"/>
  <c r="AZ107" i="11"/>
  <c r="AL91" i="11"/>
  <c r="AQ92" i="11"/>
  <c r="AN92" i="11"/>
  <c r="AO92" i="11"/>
  <c r="AP92" i="11"/>
  <c r="BS126" i="15" l="1"/>
  <c r="AX125" i="15"/>
  <c r="BV127" i="15"/>
  <c r="BT128" i="15"/>
  <c r="BU127" i="15"/>
  <c r="BX127" i="15"/>
  <c r="BW127" i="15"/>
  <c r="AY127" i="15"/>
  <c r="AZ126" i="15"/>
  <c r="BC126" i="15"/>
  <c r="BB126" i="15"/>
  <c r="BA126" i="15"/>
  <c r="BK126" i="15"/>
  <c r="BI127" i="15"/>
  <c r="BJ126" i="15"/>
  <c r="BL126" i="15"/>
  <c r="BM126" i="15"/>
  <c r="BH125" i="15"/>
  <c r="AV107" i="11"/>
  <c r="BA108" i="11"/>
  <c r="AX108" i="11"/>
  <c r="AW109" i="11"/>
  <c r="AY108" i="11"/>
  <c r="AZ108" i="11"/>
  <c r="BG84" i="11"/>
  <c r="BH86" i="11"/>
  <c r="BL85" i="11"/>
  <c r="BI85" i="11"/>
  <c r="BJ85" i="11"/>
  <c r="BK85" i="11"/>
  <c r="AL92" i="11"/>
  <c r="AO93" i="11"/>
  <c r="AP93" i="11"/>
  <c r="AQ93" i="11"/>
  <c r="AN93" i="11"/>
  <c r="BI128" i="15" l="1"/>
  <c r="BJ127" i="15"/>
  <c r="BM127" i="15"/>
  <c r="BL127" i="15"/>
  <c r="BK127" i="15"/>
  <c r="AX126" i="15"/>
  <c r="BT129" i="15"/>
  <c r="BU128" i="15"/>
  <c r="BX128" i="15"/>
  <c r="BW128" i="15"/>
  <c r="BV128" i="15"/>
  <c r="BS127" i="15"/>
  <c r="BC127" i="15"/>
  <c r="BB127" i="15"/>
  <c r="BA127" i="15"/>
  <c r="AZ127" i="15"/>
  <c r="AY128" i="15"/>
  <c r="BH126" i="15"/>
  <c r="BH87" i="11"/>
  <c r="BJ86" i="11"/>
  <c r="BK86" i="11"/>
  <c r="BL86" i="11"/>
  <c r="BI86" i="11"/>
  <c r="BA109" i="11"/>
  <c r="AX109" i="11"/>
  <c r="AZ109" i="11"/>
  <c r="AW110" i="11"/>
  <c r="AY109" i="11"/>
  <c r="AV108" i="11"/>
  <c r="BG85" i="11"/>
  <c r="AL93" i="11"/>
  <c r="AO94" i="11"/>
  <c r="AP94" i="11"/>
  <c r="AQ94" i="11"/>
  <c r="AN94" i="11"/>
  <c r="AX127" i="15" l="1"/>
  <c r="BS128" i="15"/>
  <c r="BX129" i="15"/>
  <c r="BW129" i="15"/>
  <c r="BV129" i="15"/>
  <c r="BU129" i="15"/>
  <c r="BT130" i="15"/>
  <c r="BH127" i="15"/>
  <c r="BB128" i="15"/>
  <c r="BA128" i="15"/>
  <c r="AY129" i="15"/>
  <c r="BC128" i="15"/>
  <c r="AZ128" i="15"/>
  <c r="BM128" i="15"/>
  <c r="BL128" i="15"/>
  <c r="BI129" i="15"/>
  <c r="BK128" i="15"/>
  <c r="BJ128" i="15"/>
  <c r="AV109" i="11"/>
  <c r="AY110" i="11"/>
  <c r="AW111" i="11"/>
  <c r="BA110" i="11"/>
  <c r="AX110" i="11"/>
  <c r="AZ110" i="11"/>
  <c r="BG86" i="11"/>
  <c r="BH88" i="11"/>
  <c r="BL87" i="11"/>
  <c r="BK87" i="11"/>
  <c r="BJ87" i="11"/>
  <c r="BI87" i="11"/>
  <c r="AL94" i="11"/>
  <c r="AQ95" i="11"/>
  <c r="AO95" i="11"/>
  <c r="AN95" i="11"/>
  <c r="AP95" i="11"/>
  <c r="BS129" i="15" l="1"/>
  <c r="BH128" i="15"/>
  <c r="AX128" i="15"/>
  <c r="BL129" i="15"/>
  <c r="BK129" i="15"/>
  <c r="BJ129" i="15"/>
  <c r="BI130" i="15"/>
  <c r="BM129" i="15"/>
  <c r="BA129" i="15"/>
  <c r="AY130" i="15"/>
  <c r="AZ129" i="15"/>
  <c r="BC129" i="15"/>
  <c r="BB129" i="15"/>
  <c r="BW130" i="15"/>
  <c r="BV130" i="15"/>
  <c r="BT131" i="15"/>
  <c r="BX130" i="15"/>
  <c r="BU130" i="15"/>
  <c r="AV110" i="11"/>
  <c r="BH89" i="11"/>
  <c r="BL88" i="11"/>
  <c r="BJ88" i="11"/>
  <c r="BK88" i="11"/>
  <c r="BI88" i="11"/>
  <c r="AW112" i="11"/>
  <c r="AX111" i="11"/>
  <c r="BA111" i="11"/>
  <c r="AY111" i="11"/>
  <c r="AZ111" i="11"/>
  <c r="BG87" i="11"/>
  <c r="AQ96" i="11"/>
  <c r="AN96" i="11"/>
  <c r="AO96" i="11"/>
  <c r="AP96" i="11"/>
  <c r="AL95" i="11"/>
  <c r="BS130" i="15" l="1"/>
  <c r="BH129" i="15"/>
  <c r="AY131" i="15"/>
  <c r="AZ130" i="15"/>
  <c r="BC130" i="15"/>
  <c r="BB130" i="15"/>
  <c r="BA130" i="15"/>
  <c r="BV131" i="15"/>
  <c r="BT132" i="15"/>
  <c r="BU131" i="15"/>
  <c r="BX131" i="15"/>
  <c r="BW131" i="15"/>
  <c r="AX129" i="15"/>
  <c r="BK130" i="15"/>
  <c r="BI131" i="15"/>
  <c r="BJ130" i="15"/>
  <c r="BM130" i="15"/>
  <c r="BL130" i="15"/>
  <c r="AV111" i="11"/>
  <c r="AY112" i="11"/>
  <c r="AX112" i="11"/>
  <c r="AZ112" i="11"/>
  <c r="AW113" i="11"/>
  <c r="BA112" i="11"/>
  <c r="BG88" i="11"/>
  <c r="BH90" i="11"/>
  <c r="BK89" i="11"/>
  <c r="BI89" i="11"/>
  <c r="BJ89" i="11"/>
  <c r="BL89" i="11"/>
  <c r="AL96" i="11"/>
  <c r="AP97" i="11"/>
  <c r="AQ97" i="11"/>
  <c r="AN97" i="11"/>
  <c r="AO97" i="11"/>
  <c r="BS131" i="15" l="1"/>
  <c r="BT133" i="15"/>
  <c r="BU132" i="15"/>
  <c r="BX132" i="15"/>
  <c r="BW132" i="15"/>
  <c r="BV132" i="15"/>
  <c r="BH130" i="15"/>
  <c r="AX130" i="15"/>
  <c r="BI132" i="15"/>
  <c r="BJ131" i="15"/>
  <c r="BM131" i="15"/>
  <c r="BL131" i="15"/>
  <c r="BK131" i="15"/>
  <c r="BC131" i="15"/>
  <c r="BB131" i="15"/>
  <c r="AY132" i="15"/>
  <c r="BA131" i="15"/>
  <c r="AZ131" i="15"/>
  <c r="AZ113" i="11"/>
  <c r="AY113" i="11"/>
  <c r="AW114" i="11"/>
  <c r="BA113" i="11"/>
  <c r="AX113" i="11"/>
  <c r="BH91" i="11"/>
  <c r="BI90" i="11"/>
  <c r="BL90" i="11"/>
  <c r="BK90" i="11"/>
  <c r="BJ90" i="11"/>
  <c r="AV112" i="11"/>
  <c r="BG89" i="11"/>
  <c r="AO98" i="11"/>
  <c r="AP98" i="11"/>
  <c r="AN98" i="11"/>
  <c r="AQ98" i="11"/>
  <c r="AL97" i="11"/>
  <c r="AY133" i="15" l="1"/>
  <c r="BB132" i="15"/>
  <c r="BA132" i="15"/>
  <c r="AZ132" i="15"/>
  <c r="BC132" i="15"/>
  <c r="BS132" i="15"/>
  <c r="BI133" i="15"/>
  <c r="BM132" i="15"/>
  <c r="BL132" i="15"/>
  <c r="BK132" i="15"/>
  <c r="BJ132" i="15"/>
  <c r="AX131" i="15"/>
  <c r="BH131" i="15"/>
  <c r="BX133" i="15"/>
  <c r="BV133" i="15"/>
  <c r="BU133" i="15"/>
  <c r="BT134" i="15"/>
  <c r="BW133" i="15"/>
  <c r="BG90" i="11"/>
  <c r="AX114" i="11"/>
  <c r="AY114" i="11"/>
  <c r="AZ114" i="11"/>
  <c r="BA114" i="11"/>
  <c r="BH92" i="11"/>
  <c r="BJ91" i="11"/>
  <c r="BL91" i="11"/>
  <c r="BK91" i="11"/>
  <c r="BI91" i="11"/>
  <c r="AV113" i="11"/>
  <c r="AL98" i="11"/>
  <c r="AN99" i="11"/>
  <c r="AP99" i="11"/>
  <c r="AO99" i="11"/>
  <c r="AQ99" i="11"/>
  <c r="BS133" i="15" l="1"/>
  <c r="BW134" i="15"/>
  <c r="BT135" i="15"/>
  <c r="BU134" i="15"/>
  <c r="BX134" i="15"/>
  <c r="BV134" i="15"/>
  <c r="AX132" i="15"/>
  <c r="BH132" i="15"/>
  <c r="BL133" i="15"/>
  <c r="BI134" i="15"/>
  <c r="BJ133" i="15"/>
  <c r="BM133" i="15"/>
  <c r="BK133" i="15"/>
  <c r="BA133" i="15"/>
  <c r="BC133" i="15"/>
  <c r="AY134" i="15"/>
  <c r="BB133" i="15"/>
  <c r="AZ133" i="15"/>
  <c r="BG91" i="11"/>
  <c r="BH93" i="11"/>
  <c r="BI92" i="11"/>
  <c r="BJ92" i="11"/>
  <c r="BL92" i="11"/>
  <c r="BK92" i="11"/>
  <c r="AV114" i="11"/>
  <c r="BC18" i="11" s="1"/>
  <c r="E6" i="17" s="1"/>
  <c r="AL99" i="11"/>
  <c r="AQ100" i="11"/>
  <c r="AN100" i="11"/>
  <c r="AO100" i="11"/>
  <c r="AP100" i="11"/>
  <c r="E6" i="13" l="1"/>
  <c r="E13" i="18" s="1"/>
  <c r="BC17" i="11"/>
  <c r="AY135" i="15"/>
  <c r="AZ134" i="15"/>
  <c r="BB134" i="15"/>
  <c r="BA134" i="15"/>
  <c r="BC134" i="15"/>
  <c r="BS134" i="15"/>
  <c r="BV135" i="15"/>
  <c r="BX135" i="15"/>
  <c r="BT136" i="15"/>
  <c r="BW135" i="15"/>
  <c r="BU135" i="15"/>
  <c r="BH133" i="15"/>
  <c r="AX133" i="15"/>
  <c r="BK134" i="15"/>
  <c r="BM134" i="15"/>
  <c r="BL134" i="15"/>
  <c r="BJ134" i="15"/>
  <c r="BI135" i="15"/>
  <c r="BG92" i="11"/>
  <c r="BH94" i="11"/>
  <c r="BL93" i="11"/>
  <c r="BJ93" i="11"/>
  <c r="BI93" i="11"/>
  <c r="BK93" i="11"/>
  <c r="AL100" i="11"/>
  <c r="AQ101" i="11"/>
  <c r="AN101" i="11"/>
  <c r="AO101" i="11"/>
  <c r="AP101" i="11"/>
  <c r="E13" i="9" l="1"/>
  <c r="F13" i="9" s="1"/>
  <c r="G13" i="9" s="1"/>
  <c r="D6" i="13"/>
  <c r="D6" i="17"/>
  <c r="F13" i="18"/>
  <c r="G13" i="18" s="1"/>
  <c r="BI136" i="15"/>
  <c r="BJ135" i="15"/>
  <c r="BL135" i="15"/>
  <c r="BM135" i="15"/>
  <c r="BK135" i="15"/>
  <c r="BH134" i="15"/>
  <c r="AX134" i="15"/>
  <c r="BS135" i="15"/>
  <c r="BT137" i="15"/>
  <c r="BU136" i="15"/>
  <c r="BW136" i="15"/>
  <c r="BV136" i="15"/>
  <c r="BX136" i="15"/>
  <c r="BC135" i="15"/>
  <c r="BA135" i="15"/>
  <c r="AY136" i="15"/>
  <c r="BB135" i="15"/>
  <c r="AZ135" i="15"/>
  <c r="BH95" i="11"/>
  <c r="BJ94" i="11"/>
  <c r="BI94" i="11"/>
  <c r="BK94" i="11"/>
  <c r="BL94" i="11"/>
  <c r="BG93" i="11"/>
  <c r="AL101" i="11"/>
  <c r="AN102" i="11"/>
  <c r="AO102" i="11"/>
  <c r="AP102" i="11"/>
  <c r="AQ102" i="11"/>
  <c r="BB136" i="15" l="1"/>
  <c r="AY137" i="15"/>
  <c r="AZ136" i="15"/>
  <c r="BC136" i="15"/>
  <c r="BA136" i="15"/>
  <c r="BS136" i="15"/>
  <c r="BH135" i="15"/>
  <c r="AX135" i="15"/>
  <c r="BX137" i="15"/>
  <c r="BV137" i="15"/>
  <c r="BT138" i="15"/>
  <c r="BW137" i="15"/>
  <c r="BU137" i="15"/>
  <c r="BM136" i="15"/>
  <c r="BK136" i="15"/>
  <c r="BJ136" i="15"/>
  <c r="BI137" i="15"/>
  <c r="BL136" i="15"/>
  <c r="BG94" i="11"/>
  <c r="BH96" i="11"/>
  <c r="BL95" i="11"/>
  <c r="BK95" i="11"/>
  <c r="BI95" i="11"/>
  <c r="BJ95" i="11"/>
  <c r="AL102" i="11"/>
  <c r="AO103" i="11"/>
  <c r="AP103" i="11"/>
  <c r="AQ103" i="11"/>
  <c r="AN103" i="11"/>
  <c r="BH136" i="15" l="1"/>
  <c r="BW138" i="15"/>
  <c r="BT139" i="15"/>
  <c r="BU138" i="15"/>
  <c r="BX138" i="15"/>
  <c r="BV138" i="15"/>
  <c r="AX136" i="15"/>
  <c r="BA137" i="15"/>
  <c r="BC137" i="15"/>
  <c r="BB137" i="15"/>
  <c r="AZ137" i="15"/>
  <c r="AY138" i="15"/>
  <c r="BL137" i="15"/>
  <c r="BI138" i="15"/>
  <c r="BJ137" i="15"/>
  <c r="BM137" i="15"/>
  <c r="BK137" i="15"/>
  <c r="BS137" i="15"/>
  <c r="BH97" i="11"/>
  <c r="BK96" i="11"/>
  <c r="BL96" i="11"/>
  <c r="BJ96" i="11"/>
  <c r="BI96" i="11"/>
  <c r="BG95" i="11"/>
  <c r="AL103" i="11"/>
  <c r="AQ104" i="11"/>
  <c r="AO104" i="11"/>
  <c r="AN104" i="11"/>
  <c r="AP104" i="11"/>
  <c r="BH137" i="15" l="1"/>
  <c r="BV139" i="15"/>
  <c r="BX139" i="15"/>
  <c r="BW139" i="15"/>
  <c r="BU139" i="15"/>
  <c r="BT140" i="15"/>
  <c r="AY139" i="15"/>
  <c r="AZ138" i="15"/>
  <c r="BB138" i="15"/>
  <c r="BC138" i="15"/>
  <c r="BA138" i="15"/>
  <c r="BS138" i="15"/>
  <c r="AX137" i="15"/>
  <c r="BK138" i="15"/>
  <c r="BM138" i="15"/>
  <c r="BI139" i="15"/>
  <c r="BJ138" i="15"/>
  <c r="BL138" i="15"/>
  <c r="BG96" i="11"/>
  <c r="BH98" i="11"/>
  <c r="BL97" i="11"/>
  <c r="BJ97" i="11"/>
  <c r="BI97" i="11"/>
  <c r="BK97" i="11"/>
  <c r="AL104" i="11"/>
  <c r="AO105" i="11"/>
  <c r="AP105" i="11"/>
  <c r="AQ105" i="11"/>
  <c r="AN105" i="11"/>
  <c r="AX138" i="15" l="1"/>
  <c r="BC139" i="15"/>
  <c r="BA139" i="15"/>
  <c r="AZ139" i="15"/>
  <c r="BB139" i="15"/>
  <c r="AY140" i="15"/>
  <c r="BT141" i="15"/>
  <c r="BU140" i="15"/>
  <c r="BW140" i="15"/>
  <c r="BX140" i="15"/>
  <c r="BV140" i="15"/>
  <c r="BI140" i="15"/>
  <c r="BJ139" i="15"/>
  <c r="BL139" i="15"/>
  <c r="BK139" i="15"/>
  <c r="BM139" i="15"/>
  <c r="BH138" i="15"/>
  <c r="BS139" i="15"/>
  <c r="BH99" i="11"/>
  <c r="BL98" i="11"/>
  <c r="BI98" i="11"/>
  <c r="BJ98" i="11"/>
  <c r="BK98" i="11"/>
  <c r="BG97" i="11"/>
  <c r="AL105" i="11"/>
  <c r="AO106" i="11"/>
  <c r="AP106" i="11"/>
  <c r="AQ106" i="11"/>
  <c r="AN106" i="11"/>
  <c r="BH139" i="15" l="1"/>
  <c r="BS140" i="15"/>
  <c r="AX139" i="15"/>
  <c r="BX141" i="15"/>
  <c r="BV141" i="15"/>
  <c r="BU141" i="15"/>
  <c r="BT142" i="15"/>
  <c r="BW141" i="15"/>
  <c r="BM140" i="15"/>
  <c r="BK140" i="15"/>
  <c r="BI141" i="15"/>
  <c r="BL140" i="15"/>
  <c r="BJ140" i="15"/>
  <c r="BB140" i="15"/>
  <c r="AY141" i="15"/>
  <c r="AZ140" i="15"/>
  <c r="BC140" i="15"/>
  <c r="BA140" i="15"/>
  <c r="BG98" i="11"/>
  <c r="BH100" i="11"/>
  <c r="BJ99" i="11"/>
  <c r="BK99" i="11"/>
  <c r="BI99" i="11"/>
  <c r="BL99" i="11"/>
  <c r="AL106" i="11"/>
  <c r="AO107" i="11"/>
  <c r="AP107" i="11"/>
  <c r="AQ107" i="11"/>
  <c r="AN107" i="11"/>
  <c r="BH140" i="15" l="1"/>
  <c r="AX140" i="15"/>
  <c r="BA141" i="15"/>
  <c r="BC141" i="15"/>
  <c r="AY142" i="15"/>
  <c r="BB141" i="15"/>
  <c r="AZ141" i="15"/>
  <c r="BL141" i="15"/>
  <c r="BI142" i="15"/>
  <c r="BJ141" i="15"/>
  <c r="BM141" i="15"/>
  <c r="BK141" i="15"/>
  <c r="BW142" i="15"/>
  <c r="BT143" i="15"/>
  <c r="BU142" i="15"/>
  <c r="BX142" i="15"/>
  <c r="BV142" i="15"/>
  <c r="BS141" i="15"/>
  <c r="BH101" i="11"/>
  <c r="BK100" i="11"/>
  <c r="BL100" i="11"/>
  <c r="BJ100" i="11"/>
  <c r="BI100" i="11"/>
  <c r="BG99" i="11"/>
  <c r="AL107" i="11"/>
  <c r="AP108" i="11"/>
  <c r="AO108" i="11"/>
  <c r="AQ108" i="11"/>
  <c r="AN108" i="11"/>
  <c r="BS142" i="15" l="1"/>
  <c r="AX141" i="15"/>
  <c r="BK142" i="15"/>
  <c r="BM142" i="15"/>
  <c r="BL142" i="15"/>
  <c r="BJ142" i="15"/>
  <c r="BI143" i="15"/>
  <c r="AY143" i="15"/>
  <c r="AZ142" i="15"/>
  <c r="BB142" i="15"/>
  <c r="BA142" i="15"/>
  <c r="BC142" i="15"/>
  <c r="BV143" i="15"/>
  <c r="BX143" i="15"/>
  <c r="BT144" i="15"/>
  <c r="BW143" i="15"/>
  <c r="BU143" i="15"/>
  <c r="BH141" i="15"/>
  <c r="BG100" i="11"/>
  <c r="BH102" i="11"/>
  <c r="BI101" i="11"/>
  <c r="BJ101" i="11"/>
  <c r="BK101" i="11"/>
  <c r="BL101" i="11"/>
  <c r="AL108" i="11"/>
  <c r="AP109" i="11"/>
  <c r="AQ109" i="11"/>
  <c r="AN109" i="11"/>
  <c r="AO109" i="11"/>
  <c r="BH142" i="15" l="1"/>
  <c r="AX142" i="15"/>
  <c r="BS143" i="15"/>
  <c r="BC143" i="15"/>
  <c r="BA143" i="15"/>
  <c r="AY144" i="15"/>
  <c r="BB143" i="15"/>
  <c r="AZ143" i="15"/>
  <c r="BT145" i="15"/>
  <c r="BU144" i="15"/>
  <c r="BW144" i="15"/>
  <c r="BV144" i="15"/>
  <c r="BX144" i="15"/>
  <c r="BI144" i="15"/>
  <c r="BJ143" i="15"/>
  <c r="BL143" i="15"/>
  <c r="BM143" i="15"/>
  <c r="BK143" i="15"/>
  <c r="BG101" i="11"/>
  <c r="BH103" i="11"/>
  <c r="BI102" i="11"/>
  <c r="BL102" i="11"/>
  <c r="BK102" i="11"/>
  <c r="BJ102" i="11"/>
  <c r="AN110" i="11"/>
  <c r="AO110" i="11"/>
  <c r="AP110" i="11"/>
  <c r="AQ110" i="11"/>
  <c r="AL109" i="11"/>
  <c r="BS144" i="15" l="1"/>
  <c r="BB144" i="15"/>
  <c r="AY145" i="15"/>
  <c r="AZ144" i="15"/>
  <c r="BC144" i="15"/>
  <c r="BA144" i="15"/>
  <c r="AX143" i="15"/>
  <c r="BM144" i="15"/>
  <c r="BK144" i="15"/>
  <c r="BJ144" i="15"/>
  <c r="BI145" i="15"/>
  <c r="BL144" i="15"/>
  <c r="BX145" i="15"/>
  <c r="BV145" i="15"/>
  <c r="BW145" i="15"/>
  <c r="BU145" i="15"/>
  <c r="BT146" i="15"/>
  <c r="BH143" i="15"/>
  <c r="BG102" i="11"/>
  <c r="BH104" i="11"/>
  <c r="BK103" i="11"/>
  <c r="BI103" i="11"/>
  <c r="BL103" i="11"/>
  <c r="BJ103" i="11"/>
  <c r="AL110" i="11"/>
  <c r="AQ111" i="11"/>
  <c r="AO111" i="11"/>
  <c r="AP111" i="11"/>
  <c r="AN111" i="11"/>
  <c r="BG103" i="11" l="1"/>
  <c r="BW146" i="15"/>
  <c r="BV146" i="15"/>
  <c r="BT147" i="15"/>
  <c r="BU146" i="15"/>
  <c r="BX146" i="15"/>
  <c r="BS145" i="15"/>
  <c r="AX144" i="15"/>
  <c r="BL145" i="15"/>
  <c r="BI146" i="15"/>
  <c r="BJ145" i="15"/>
  <c r="BM145" i="15"/>
  <c r="BK145" i="15"/>
  <c r="BA145" i="15"/>
  <c r="BC145" i="15"/>
  <c r="BB145" i="15"/>
  <c r="AZ145" i="15"/>
  <c r="AY146" i="15"/>
  <c r="BH144" i="15"/>
  <c r="BH105" i="11"/>
  <c r="BL104" i="11"/>
  <c r="BJ104" i="11"/>
  <c r="BI104" i="11"/>
  <c r="BK104" i="11"/>
  <c r="AQ112" i="11"/>
  <c r="AN112" i="11"/>
  <c r="AP112" i="11"/>
  <c r="AO112" i="11"/>
  <c r="AL111" i="11"/>
  <c r="AX145" i="15" l="1"/>
  <c r="BS146" i="15"/>
  <c r="BG104" i="11"/>
  <c r="BV147" i="15"/>
  <c r="BT148" i="15"/>
  <c r="BU147" i="15"/>
  <c r="BX147" i="15"/>
  <c r="BW147" i="15"/>
  <c r="BH145" i="15"/>
  <c r="AY147" i="15"/>
  <c r="AZ146" i="15"/>
  <c r="BC146" i="15"/>
  <c r="BB146" i="15"/>
  <c r="BA146" i="15"/>
  <c r="BK146" i="15"/>
  <c r="BI147" i="15"/>
  <c r="BJ146" i="15"/>
  <c r="BM146" i="15"/>
  <c r="BL146" i="15"/>
  <c r="BH106" i="11"/>
  <c r="BI105" i="11"/>
  <c r="BJ105" i="11"/>
  <c r="BL105" i="11"/>
  <c r="BK105" i="11"/>
  <c r="AL112" i="11"/>
  <c r="AO113" i="11"/>
  <c r="AQ113" i="11"/>
  <c r="AP113" i="11"/>
  <c r="AN113" i="11"/>
  <c r="BS147" i="15" l="1"/>
  <c r="AX146" i="15"/>
  <c r="BC147" i="15"/>
  <c r="BB147" i="15"/>
  <c r="BA147" i="15"/>
  <c r="AY148" i="15"/>
  <c r="AZ147" i="15"/>
  <c r="BH146" i="15"/>
  <c r="BU148" i="15"/>
  <c r="BX148" i="15"/>
  <c r="BW148" i="15"/>
  <c r="BV148" i="15"/>
  <c r="BI148" i="15"/>
  <c r="BJ147" i="15"/>
  <c r="BM147" i="15"/>
  <c r="BL147" i="15"/>
  <c r="BK147" i="15"/>
  <c r="BG105" i="11"/>
  <c r="BH107" i="11"/>
  <c r="BL106" i="11"/>
  <c r="BJ106" i="11"/>
  <c r="BK106" i="11"/>
  <c r="BI106" i="11"/>
  <c r="AL113" i="11"/>
  <c r="AO114" i="11"/>
  <c r="AQ114" i="11"/>
  <c r="AP114" i="11"/>
  <c r="AN114" i="11"/>
  <c r="BS148" i="15" l="1"/>
  <c r="BZ17" i="15" s="1"/>
  <c r="F7" i="17" s="1"/>
  <c r="BM148" i="15"/>
  <c r="BL148" i="15"/>
  <c r="BK148" i="15"/>
  <c r="BJ148" i="15"/>
  <c r="AX147" i="15"/>
  <c r="BH147" i="15"/>
  <c r="BB148" i="15"/>
  <c r="BA148" i="15"/>
  <c r="AZ148" i="15"/>
  <c r="BC148" i="15"/>
  <c r="BG106" i="11"/>
  <c r="BH108" i="11"/>
  <c r="BL107" i="11"/>
  <c r="BJ107" i="11"/>
  <c r="BI107" i="11"/>
  <c r="BK107" i="11"/>
  <c r="AL114" i="11"/>
  <c r="AS17" i="11" s="1"/>
  <c r="E6" i="12" l="1"/>
  <c r="G6" i="12" s="1"/>
  <c r="E6" i="16"/>
  <c r="G6" i="16" s="1"/>
  <c r="BZ18" i="15"/>
  <c r="G7" i="17" s="1"/>
  <c r="BH148" i="15"/>
  <c r="BO18" i="15" s="1"/>
  <c r="AX148" i="15"/>
  <c r="BH109" i="11"/>
  <c r="BL108" i="11"/>
  <c r="BJ108" i="11"/>
  <c r="BI108" i="11"/>
  <c r="BK108" i="11"/>
  <c r="BG107" i="11"/>
  <c r="H7" i="17" l="1"/>
  <c r="I7" i="17" s="1"/>
  <c r="H13" i="18"/>
  <c r="H13" i="9"/>
  <c r="E7" i="17"/>
  <c r="E14" i="18" s="1"/>
  <c r="F14" i="18" s="1"/>
  <c r="G14" i="18" s="1"/>
  <c r="BE17" i="15"/>
  <c r="BO17" i="15"/>
  <c r="D7" i="17" s="1"/>
  <c r="BG108" i="11"/>
  <c r="BH110" i="11"/>
  <c r="BK109" i="11"/>
  <c r="BJ109" i="11"/>
  <c r="BI109" i="11"/>
  <c r="BL109" i="11"/>
  <c r="E7" i="16" l="1"/>
  <c r="G7" i="16" s="1"/>
  <c r="H14" i="18" s="1"/>
  <c r="BG109" i="11"/>
  <c r="BH111" i="11"/>
  <c r="BK110" i="11"/>
  <c r="BI110" i="11"/>
  <c r="BJ110" i="11"/>
  <c r="BL110" i="11"/>
  <c r="BG110" i="11" l="1"/>
  <c r="BH112" i="11"/>
  <c r="BJ111" i="11"/>
  <c r="BI111" i="11"/>
  <c r="BL111" i="11"/>
  <c r="BK111" i="11"/>
  <c r="BG111" i="11" l="1"/>
  <c r="BH113" i="11"/>
  <c r="BJ112" i="11"/>
  <c r="BK112" i="11"/>
  <c r="BI112" i="11"/>
  <c r="BL112" i="11"/>
  <c r="BG112" i="11" l="1"/>
  <c r="BH114" i="11"/>
  <c r="BI113" i="11"/>
  <c r="BJ113" i="11"/>
  <c r="BK113" i="11"/>
  <c r="BL113" i="11"/>
  <c r="BG113" i="11" l="1"/>
  <c r="BJ114" i="11"/>
  <c r="BK114" i="11"/>
  <c r="BL114" i="11"/>
  <c r="BI114" i="11"/>
  <c r="BG114" i="11" l="1"/>
  <c r="BN18" i="11" s="1"/>
  <c r="G6" i="17" s="1"/>
  <c r="BN17" i="11" l="1"/>
  <c r="F6" i="17" s="1"/>
  <c r="H6" i="17" s="1"/>
  <c r="I6" i="17" s="1"/>
  <c r="G6" i="13"/>
  <c r="F6" i="13" l="1"/>
  <c r="H6" i="13" s="1"/>
  <c r="I6" i="13" s="1"/>
</calcChain>
</file>

<file path=xl/sharedStrings.xml><?xml version="1.0" encoding="utf-8"?>
<sst xmlns="http://schemas.openxmlformats.org/spreadsheetml/2006/main" count="329" uniqueCount="91">
  <si>
    <t>Name</t>
  </si>
  <si>
    <t>Datum</t>
  </si>
  <si>
    <t>Vorname</t>
  </si>
  <si>
    <t>Trainer</t>
  </si>
  <si>
    <t>geb.</t>
  </si>
  <si>
    <t>Geschlecht</t>
  </si>
  <si>
    <t xml:space="preserve">Größe </t>
  </si>
  <si>
    <t>Gewicht</t>
  </si>
  <si>
    <t>Alter</t>
  </si>
  <si>
    <t>Puls Max</t>
  </si>
  <si>
    <t>Stufen</t>
  </si>
  <si>
    <t>Zeit min</t>
  </si>
  <si>
    <t>RR syst</t>
  </si>
  <si>
    <t>RR diast</t>
  </si>
  <si>
    <t>Herzfrequenz</t>
  </si>
  <si>
    <t>Laktat</t>
  </si>
  <si>
    <t xml:space="preserve">  </t>
  </si>
  <si>
    <t>niedrigstes Laktat</t>
  </si>
  <si>
    <t>PWC 130</t>
  </si>
  <si>
    <t>Trainings-Herzfreq.</t>
  </si>
  <si>
    <t>W an LT1</t>
  </si>
  <si>
    <t>W an LT2</t>
  </si>
  <si>
    <t>HF an LT1</t>
  </si>
  <si>
    <t>HF an LT2</t>
  </si>
  <si>
    <t>Rad</t>
  </si>
  <si>
    <t>MET</t>
  </si>
  <si>
    <t>Watt an LT2</t>
  </si>
  <si>
    <t>W/kg bei 130</t>
  </si>
  <si>
    <t>x</t>
  </si>
  <si>
    <t>Watt</t>
  </si>
  <si>
    <t>Laktat-Test</t>
  </si>
  <si>
    <t>Ruhe 6:00</t>
  </si>
  <si>
    <t>Ruhe 3 :00</t>
  </si>
  <si>
    <t>HF</t>
  </si>
  <si>
    <t>Amplitude</t>
  </si>
  <si>
    <t>X²</t>
  </si>
  <si>
    <t>x³</t>
  </si>
  <si>
    <t>LT1</t>
  </si>
  <si>
    <t>LT2</t>
  </si>
  <si>
    <t>Laktat = x</t>
  </si>
  <si>
    <t>gegen Watt</t>
  </si>
  <si>
    <t xml:space="preserve"> </t>
  </si>
  <si>
    <t>Belastung (W)</t>
  </si>
  <si>
    <t>PWC130</t>
  </si>
  <si>
    <t>W</t>
  </si>
  <si>
    <t>ID</t>
  </si>
  <si>
    <t xml:space="preserve">ID </t>
  </si>
  <si>
    <t>Laktat-Schwellen</t>
  </si>
  <si>
    <t>Größe</t>
  </si>
  <si>
    <t>geb</t>
  </si>
  <si>
    <t>Ruhe</t>
  </si>
  <si>
    <t>Intervalle</t>
  </si>
  <si>
    <t>Ruhe Bel</t>
  </si>
  <si>
    <t>Leistung (Watt / kg)  bei einer Herzfrequenz von 130 Schlägen / Minute</t>
  </si>
  <si>
    <t>HF 130 bei</t>
  </si>
  <si>
    <t>kcal/kg/h</t>
  </si>
  <si>
    <t>Sonst.</t>
  </si>
  <si>
    <t>© E &amp; E Heinen; www.profheinen.de</t>
  </si>
  <si>
    <t>E &amp; E Heinen; www.profheinen.de</t>
  </si>
  <si>
    <t xml:space="preserve">     Beurteilung der PWC 130 für Frauen</t>
  </si>
  <si>
    <t>Test 1</t>
  </si>
  <si>
    <t>Test 2</t>
  </si>
  <si>
    <t>w</t>
  </si>
  <si>
    <t>Belastung</t>
  </si>
  <si>
    <r>
      <t>ml O</t>
    </r>
    <r>
      <rPr>
        <vertAlign val="subscript"/>
        <sz val="11"/>
        <color rgb="FF000000"/>
        <rFont val="Calibri"/>
        <family val="2"/>
      </rPr>
      <t>2</t>
    </r>
  </si>
  <si>
    <t>/kg / min</t>
  </si>
  <si>
    <t>Watt Laktat</t>
  </si>
  <si>
    <t>Y</t>
  </si>
  <si>
    <t>X</t>
  </si>
  <si>
    <t>x4</t>
  </si>
  <si>
    <t>HF Laktat</t>
  </si>
  <si>
    <t>Fitness-Check 1</t>
  </si>
  <si>
    <t>Fitness-Check 2</t>
  </si>
  <si>
    <r>
      <t>x</t>
    </r>
    <r>
      <rPr>
        <vertAlign val="superscript"/>
        <sz val="11"/>
        <color theme="0"/>
        <rFont val="Calibri"/>
        <family val="2"/>
      </rPr>
      <t>4</t>
    </r>
  </si>
  <si>
    <t>in Watt bzw Herzfrequenz bei Erreichen der Laktat-Schwellen</t>
  </si>
  <si>
    <r>
      <t>x</t>
    </r>
    <r>
      <rPr>
        <vertAlign val="superscript"/>
        <sz val="11"/>
        <rFont val="Calibri"/>
        <family val="2"/>
      </rPr>
      <t>4</t>
    </r>
  </si>
  <si>
    <t>Belastung 
 Stufe 1</t>
  </si>
  <si>
    <t>Belastung 
 Stufe 2</t>
  </si>
  <si>
    <t>Belastung 
 Stufe 3</t>
  </si>
  <si>
    <t>Belastung 
 Stufe 4</t>
  </si>
  <si>
    <t>Belastung 
 Stufe 5</t>
  </si>
  <si>
    <t>Belastung 
 Stufe 6</t>
  </si>
  <si>
    <t>Belastung 
 Stufe 7</t>
  </si>
  <si>
    <t xml:space="preserve"> Zeit</t>
  </si>
  <si>
    <t>RRsys</t>
  </si>
  <si>
    <t>RRdiast</t>
  </si>
  <si>
    <t>Puls</t>
  </si>
  <si>
    <t xml:space="preserve"> Laktat</t>
  </si>
  <si>
    <t>Ruhe
Phase 1</t>
  </si>
  <si>
    <t>Ruhe
Phase 2</t>
  </si>
  <si>
    <t>PWC 130 und Laktat-Schwelle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</si>
</sst>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43" formatCode="_-* #,##0.00\ _€_-;\-* #,##0.00\ _€_-;_-* &quot;-&quot;??\ _€_-;_-@_-"/>
    <numFmt numFmtId="164" formatCode="dd/mm/yy;@"/>
    <numFmt numFmtId="165" formatCode="0.0\ &quot;kg&quot;"/>
    <numFmt numFmtId="166" formatCode="0.00\ &quot;m&quot;"/>
    <numFmt numFmtId="167" formatCode="0\ &quot;Watt&quot;"/>
    <numFmt numFmtId="168" formatCode="0\ &quot;b/min&quot;"/>
    <numFmt numFmtId="169" formatCode="0.0\ &quot;mmol/l&quot;"/>
    <numFmt numFmtId="170" formatCode="0.0\ &quot;Jahre&quot;"/>
    <numFmt numFmtId="171" formatCode="0.0\ &quot;W/kg&quot;"/>
    <numFmt numFmtId="172" formatCode="0.0"/>
    <numFmt numFmtId="173" formatCode="d/m/yy;@"/>
    <numFmt numFmtId="174" formatCode="0\ &quot;ml O²/Watt&quot;"/>
    <numFmt numFmtId="175" formatCode="#,##0.0"/>
    <numFmt numFmtId="176" formatCode="0\ &quot;cm&quot;"/>
    <numFmt numFmtId="177" formatCode="h:mm;@"/>
    <numFmt numFmtId="178" formatCode="0\ &quot;W&quot;"/>
    <numFmt numFmtId="179" formatCode="0\ &quot;mm Hg&quot;"/>
    <numFmt numFmtId="180" formatCode="0.0000000000"/>
    <numFmt numFmtId="181" formatCode="0\ &quot;Jahre&quot;"/>
    <numFmt numFmtId="182" formatCode="0.0000"/>
    <numFmt numFmtId="183" formatCode="0.0000000"/>
    <numFmt numFmtId="184" formatCode="0.0\ &quot;J&quot;"/>
  </numFmts>
  <fonts count="20" x14ac:knownFonts="1"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</font>
    <font>
      <sz val="11"/>
      <color theme="0"/>
      <name val="Calibri"/>
      <family val="2"/>
    </font>
    <font>
      <b/>
      <sz val="14"/>
      <color rgb="FF000000"/>
      <name val="Calibri"/>
      <family val="2"/>
    </font>
    <font>
      <sz val="10"/>
      <color theme="0"/>
      <name val="Arial"/>
      <family val="2"/>
    </font>
    <font>
      <sz val="11"/>
      <color theme="0" tint="-0.14999847407452621"/>
      <name val="Calibri"/>
      <family val="2"/>
    </font>
    <font>
      <u/>
      <sz val="18"/>
      <color rgb="FF000000"/>
      <name val="Calibri"/>
      <family val="2"/>
    </font>
    <font>
      <sz val="11"/>
      <name val="Calibri"/>
      <family val="2"/>
    </font>
    <font>
      <sz val="11"/>
      <color theme="0" tint="-0.34998626667073579"/>
      <name val="Calibri"/>
      <family val="2"/>
    </font>
    <font>
      <vertAlign val="subscript"/>
      <sz val="11"/>
      <color rgb="FF000000"/>
      <name val="Calibri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vertAlign val="superscript"/>
      <sz val="11"/>
      <color theme="0"/>
      <name val="Calibri"/>
      <family val="2"/>
    </font>
    <font>
      <sz val="11"/>
      <color theme="0"/>
      <name val="Calibri Light"/>
      <family val="2"/>
    </font>
    <font>
      <vertAlign val="superscript"/>
      <sz val="11"/>
      <name val="Calibri"/>
      <family val="2"/>
    </font>
    <font>
      <sz val="11"/>
      <name val="Calibri Light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9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4" fontId="0" fillId="0" borderId="0" xfId="0" applyNumberFormat="1"/>
    <xf numFmtId="173" fontId="0" fillId="0" borderId="0" xfId="0" applyNumberFormat="1" applyAlignment="1">
      <alignment horizontal="right"/>
    </xf>
    <xf numFmtId="166" fontId="0" fillId="0" borderId="0" xfId="0" applyNumberFormat="1" applyAlignment="1">
      <alignment horizontal="right"/>
    </xf>
    <xf numFmtId="174" fontId="0" fillId="0" borderId="0" xfId="0" applyNumberFormat="1"/>
    <xf numFmtId="175" fontId="0" fillId="0" borderId="0" xfId="0" applyNumberFormat="1" applyAlignment="1">
      <alignment horizontal="center"/>
    </xf>
    <xf numFmtId="0" fontId="2" fillId="0" borderId="0" xfId="0" applyFont="1"/>
    <xf numFmtId="1" fontId="0" fillId="0" borderId="0" xfId="0" applyNumberFormat="1" applyAlignment="1">
      <alignment horizontal="right"/>
    </xf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169" fontId="0" fillId="0" borderId="1" xfId="0" applyNumberFormat="1" applyFill="1" applyBorder="1" applyAlignment="1" applyProtection="1">
      <alignment horizontal="center"/>
    </xf>
    <xf numFmtId="164" fontId="0" fillId="0" borderId="0" xfId="0" applyNumberFormat="1" applyAlignment="1">
      <alignment horizontal="center"/>
    </xf>
    <xf numFmtId="181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72" fontId="5" fillId="0" borderId="0" xfId="0" applyNumberFormat="1" applyFont="1"/>
    <xf numFmtId="0" fontId="6" fillId="0" borderId="0" xfId="0" applyFont="1"/>
    <xf numFmtId="0" fontId="0" fillId="0" borderId="2" xfId="0" applyBorder="1"/>
    <xf numFmtId="0" fontId="0" fillId="0" borderId="1" xfId="0" applyFill="1" applyBorder="1"/>
    <xf numFmtId="0" fontId="0" fillId="0" borderId="2" xfId="0" applyFill="1" applyBorder="1"/>
    <xf numFmtId="0" fontId="0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67" fontId="0" fillId="0" borderId="1" xfId="0" applyNumberFormat="1" applyFill="1" applyBorder="1" applyAlignment="1" applyProtection="1">
      <alignment horizontal="center"/>
      <protection locked="0"/>
    </xf>
    <xf numFmtId="179" fontId="0" fillId="2" borderId="3" xfId="0" applyNumberFormat="1" applyFill="1" applyBorder="1" applyAlignment="1" applyProtection="1">
      <alignment horizontal="right"/>
      <protection locked="0"/>
    </xf>
    <xf numFmtId="168" fontId="0" fillId="2" borderId="3" xfId="0" applyNumberFormat="1" applyFill="1" applyBorder="1" applyAlignment="1" applyProtection="1">
      <alignment horizontal="right"/>
      <protection locked="0"/>
    </xf>
    <xf numFmtId="20" fontId="0" fillId="0" borderId="2" xfId="0" applyNumberFormat="1" applyBorder="1" applyAlignment="1" applyProtection="1">
      <alignment horizontal="right"/>
      <protection locked="0"/>
    </xf>
    <xf numFmtId="179" fontId="0" fillId="3" borderId="3" xfId="0" applyNumberFormat="1" applyFill="1" applyBorder="1" applyAlignment="1" applyProtection="1">
      <alignment horizontal="right"/>
      <protection locked="0"/>
    </xf>
    <xf numFmtId="168" fontId="0" fillId="3" borderId="3" xfId="0" applyNumberFormat="1" applyFill="1" applyBorder="1" applyAlignment="1" applyProtection="1">
      <alignment horizontal="right"/>
      <protection locked="0"/>
    </xf>
    <xf numFmtId="169" fontId="5" fillId="0" borderId="1" xfId="0" applyNumberFormat="1" applyFont="1" applyFill="1" applyBorder="1" applyAlignment="1" applyProtection="1">
      <alignment horizontal="center"/>
    </xf>
    <xf numFmtId="0" fontId="0" fillId="0" borderId="0" xfId="0" applyProtection="1"/>
    <xf numFmtId="0" fontId="2" fillId="0" borderId="0" xfId="0" applyFont="1" applyProtection="1"/>
    <xf numFmtId="1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left"/>
    </xf>
    <xf numFmtId="170" fontId="0" fillId="0" borderId="1" xfId="0" applyNumberFormat="1" applyFill="1" applyBorder="1" applyProtection="1"/>
    <xf numFmtId="164" fontId="0" fillId="0" borderId="0" xfId="0" applyNumberFormat="1" applyAlignment="1" applyProtection="1">
      <alignment horizontal="right"/>
    </xf>
    <xf numFmtId="0" fontId="1" fillId="0" borderId="0" xfId="0" applyFont="1" applyProtection="1"/>
    <xf numFmtId="168" fontId="1" fillId="0" borderId="1" xfId="0" applyNumberFormat="1" applyFont="1" applyFill="1" applyBorder="1" applyProtection="1"/>
    <xf numFmtId="167" fontId="0" fillId="0" borderId="1" xfId="0" applyNumberFormat="1" applyFill="1" applyBorder="1" applyProtection="1"/>
    <xf numFmtId="176" fontId="0" fillId="0" borderId="0" xfId="0" applyNumberFormat="1" applyAlignment="1" applyProtection="1">
      <alignment horizontal="right"/>
    </xf>
    <xf numFmtId="165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center"/>
    </xf>
    <xf numFmtId="0" fontId="3" fillId="0" borderId="0" xfId="0" applyFont="1" applyAlignment="1" applyProtection="1">
      <alignment horizontal="center"/>
    </xf>
    <xf numFmtId="177" fontId="0" fillId="0" borderId="0" xfId="0" applyNumberFormat="1" applyAlignment="1" applyProtection="1">
      <alignment horizontal="center"/>
    </xf>
    <xf numFmtId="179" fontId="0" fillId="0" borderId="1" xfId="0" applyNumberFormat="1" applyFill="1" applyBorder="1" applyAlignment="1" applyProtection="1">
      <alignment horizontal="center"/>
    </xf>
    <xf numFmtId="168" fontId="0" fillId="0" borderId="1" xfId="0" applyNumberForma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168" fontId="0" fillId="0" borderId="0" xfId="0" applyNumberFormat="1" applyProtection="1"/>
    <xf numFmtId="0" fontId="1" fillId="0" borderId="0" xfId="0" applyFont="1" applyAlignment="1" applyProtection="1">
      <alignment horizontal="center"/>
    </xf>
    <xf numFmtId="0" fontId="5" fillId="0" borderId="0" xfId="0" applyFont="1" applyProtection="1"/>
    <xf numFmtId="0" fontId="7" fillId="0" borderId="0" xfId="0" applyFont="1" applyProtection="1"/>
    <xf numFmtId="179" fontId="5" fillId="0" borderId="0" xfId="0" applyNumberFormat="1" applyFont="1" applyProtection="1"/>
    <xf numFmtId="1" fontId="0" fillId="0" borderId="1" xfId="0" applyNumberFormat="1" applyBorder="1" applyAlignment="1">
      <alignment horizontal="center"/>
    </xf>
    <xf numFmtId="0" fontId="0" fillId="0" borderId="1" xfId="0" applyFill="1" applyBorder="1" applyAlignment="1" applyProtection="1">
      <alignment horizontal="center"/>
      <protection locked="0"/>
    </xf>
    <xf numFmtId="165" fontId="0" fillId="0" borderId="0" xfId="0" applyNumberFormat="1" applyAlignment="1">
      <alignment horizontal="center"/>
    </xf>
    <xf numFmtId="176" fontId="0" fillId="0" borderId="0" xfId="0" applyNumberFormat="1" applyAlignment="1" applyProtection="1">
      <alignment horizontal="center"/>
    </xf>
    <xf numFmtId="164" fontId="0" fillId="0" borderId="1" xfId="0" applyNumberFormat="1" applyFill="1" applyBorder="1" applyAlignment="1" applyProtection="1">
      <alignment horizontal="right"/>
    </xf>
    <xf numFmtId="177" fontId="5" fillId="0" borderId="0" xfId="0" applyNumberFormat="1" applyFont="1" applyProtection="1"/>
    <xf numFmtId="0" fontId="0" fillId="0" borderId="0" xfId="0" applyFill="1"/>
    <xf numFmtId="0" fontId="0" fillId="0" borderId="1" xfId="0" applyBorder="1"/>
    <xf numFmtId="0" fontId="9" fillId="0" borderId="0" xfId="0" applyFont="1"/>
    <xf numFmtId="0" fontId="10" fillId="0" borderId="0" xfId="0" applyFont="1" applyProtection="1"/>
    <xf numFmtId="178" fontId="0" fillId="0" borderId="0" xfId="0" applyNumberFormat="1" applyProtection="1"/>
    <xf numFmtId="43" fontId="0" fillId="0" borderId="0" xfId="1" applyFont="1" applyAlignment="1"/>
    <xf numFmtId="0" fontId="0" fillId="0" borderId="0" xfId="0" applyAlignment="1"/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172" fontId="0" fillId="0" borderId="0" xfId="0" applyNumberFormat="1" applyAlignment="1">
      <alignment horizontal="center"/>
    </xf>
    <xf numFmtId="49" fontId="0" fillId="0" borderId="1" xfId="0" applyNumberFormat="1" applyFill="1" applyBorder="1" applyAlignment="1" applyProtection="1">
      <alignment horizontal="right"/>
    </xf>
    <xf numFmtId="164" fontId="0" fillId="0" borderId="0" xfId="0" applyNumberFormat="1" applyAlignment="1">
      <alignment horizontal="right"/>
    </xf>
    <xf numFmtId="172" fontId="5" fillId="0" borderId="0" xfId="0" applyNumberFormat="1" applyFont="1" applyAlignment="1">
      <alignment horizontal="right"/>
    </xf>
    <xf numFmtId="1" fontId="0" fillId="0" borderId="0" xfId="0" applyNumberFormat="1" applyAlignment="1" applyProtection="1">
      <alignment horizontal="left"/>
    </xf>
    <xf numFmtId="1" fontId="0" fillId="0" borderId="0" xfId="0" applyNumberFormat="1" applyAlignment="1" applyProtection="1"/>
    <xf numFmtId="43" fontId="0" fillId="0" borderId="0" xfId="1" applyFont="1" applyAlignment="1">
      <alignment horizontal="left"/>
    </xf>
    <xf numFmtId="178" fontId="5" fillId="0" borderId="0" xfId="0" applyNumberFormat="1" applyFont="1" applyProtection="1"/>
    <xf numFmtId="169" fontId="5" fillId="0" borderId="0" xfId="0" applyNumberFormat="1" applyFont="1" applyProtection="1"/>
    <xf numFmtId="0" fontId="13" fillId="0" borderId="0" xfId="0" applyFont="1" applyProtection="1"/>
    <xf numFmtId="0" fontId="10" fillId="0" borderId="1" xfId="0" applyFont="1" applyBorder="1" applyProtection="1"/>
    <xf numFmtId="0" fontId="0" fillId="0" borderId="1" xfId="0" applyBorder="1" applyProtection="1"/>
    <xf numFmtId="164" fontId="10" fillId="0" borderId="1" xfId="0" applyNumberFormat="1" applyFont="1" applyFill="1" applyBorder="1" applyAlignment="1" applyProtection="1">
      <alignment horizontal="right"/>
    </xf>
    <xf numFmtId="164" fontId="10" fillId="0" borderId="1" xfId="0" applyNumberFormat="1" applyFont="1" applyFill="1" applyBorder="1" applyAlignment="1" applyProtection="1">
      <alignment horizontal="center"/>
    </xf>
    <xf numFmtId="170" fontId="10" fillId="0" borderId="1" xfId="0" applyNumberFormat="1" applyFont="1" applyFill="1" applyBorder="1" applyProtection="1"/>
    <xf numFmtId="168" fontId="14" fillId="0" borderId="1" xfId="0" applyNumberFormat="1" applyFont="1" applyFill="1" applyBorder="1" applyProtection="1"/>
    <xf numFmtId="167" fontId="10" fillId="0" borderId="1" xfId="0" applyNumberFormat="1" applyFont="1" applyFill="1" applyBorder="1" applyProtection="1"/>
    <xf numFmtId="182" fontId="0" fillId="0" borderId="0" xfId="0" applyNumberFormat="1"/>
    <xf numFmtId="177" fontId="5" fillId="0" borderId="0" xfId="0" applyNumberFormat="1" applyFont="1" applyAlignment="1" applyProtection="1">
      <alignment horizontal="center"/>
    </xf>
    <xf numFmtId="179" fontId="5" fillId="0" borderId="1" xfId="0" applyNumberFormat="1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164" fontId="5" fillId="0" borderId="1" xfId="0" applyNumberFormat="1" applyFont="1" applyFill="1" applyBorder="1" applyAlignment="1" applyProtection="1">
      <alignment horizontal="right"/>
    </xf>
    <xf numFmtId="168" fontId="5" fillId="0" borderId="0" xfId="0" applyNumberFormat="1" applyFont="1" applyProtection="1"/>
    <xf numFmtId="164" fontId="5" fillId="0" borderId="1" xfId="0" applyNumberFormat="1" applyFont="1" applyFill="1" applyBorder="1" applyAlignment="1" applyProtection="1">
      <alignment horizontal="center"/>
    </xf>
    <xf numFmtId="170" fontId="5" fillId="0" borderId="1" xfId="0" applyNumberFormat="1" applyFont="1" applyFill="1" applyBorder="1" applyProtection="1"/>
    <xf numFmtId="1" fontId="5" fillId="0" borderId="0" xfId="0" applyNumberFormat="1" applyFont="1" applyProtection="1"/>
    <xf numFmtId="168" fontId="7" fillId="0" borderId="1" xfId="0" applyNumberFormat="1" applyFont="1" applyFill="1" applyBorder="1" applyProtection="1"/>
    <xf numFmtId="167" fontId="5" fillId="0" borderId="1" xfId="0" applyNumberFormat="1" applyFont="1" applyFill="1" applyBorder="1" applyProtection="1"/>
    <xf numFmtId="167" fontId="5" fillId="0" borderId="0" xfId="0" applyNumberFormat="1" applyFont="1" applyProtection="1"/>
    <xf numFmtId="0" fontId="0" fillId="0" borderId="3" xfId="0" applyBorder="1" applyAlignment="1">
      <alignment horizontal="right"/>
    </xf>
    <xf numFmtId="181" fontId="0" fillId="0" borderId="3" xfId="0" applyNumberFormat="1" applyBorder="1" applyAlignment="1">
      <alignment horizontal="right"/>
    </xf>
    <xf numFmtId="0" fontId="0" fillId="0" borderId="3" xfId="0" applyBorder="1"/>
    <xf numFmtId="0" fontId="0" fillId="0" borderId="3" xfId="0" applyBorder="1" applyAlignment="1">
      <alignment horizontal="center"/>
    </xf>
    <xf numFmtId="164" fontId="0" fillId="0" borderId="3" xfId="0" applyNumberFormat="1" applyBorder="1"/>
    <xf numFmtId="184" fontId="0" fillId="0" borderId="3" xfId="0" applyNumberFormat="1" applyBorder="1" applyAlignment="1">
      <alignment horizontal="right"/>
    </xf>
    <xf numFmtId="165" fontId="0" fillId="0" borderId="3" xfId="0" applyNumberFormat="1" applyBorder="1"/>
    <xf numFmtId="167" fontId="0" fillId="0" borderId="3" xfId="0" applyNumberFormat="1" applyFill="1" applyBorder="1" applyAlignment="1" applyProtection="1">
      <alignment horizontal="center"/>
      <protection locked="0"/>
    </xf>
    <xf numFmtId="165" fontId="0" fillId="0" borderId="3" xfId="0" applyNumberFormat="1" applyBorder="1" applyAlignment="1" applyProtection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2" fillId="0" borderId="3" xfId="0" applyFont="1" applyBorder="1" applyAlignment="1">
      <alignment horizontal="center"/>
    </xf>
    <xf numFmtId="171" fontId="2" fillId="0" borderId="3" xfId="0" applyNumberFormat="1" applyFont="1" applyBorder="1" applyAlignment="1">
      <alignment horizontal="center"/>
    </xf>
    <xf numFmtId="0" fontId="10" fillId="0" borderId="0" xfId="0" applyFont="1"/>
    <xf numFmtId="181" fontId="0" fillId="0" borderId="3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84" fontId="0" fillId="0" borderId="3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72" fontId="5" fillId="0" borderId="0" xfId="0" applyNumberFormat="1" applyFont="1" applyProtection="1"/>
    <xf numFmtId="0" fontId="5" fillId="0" borderId="0" xfId="0" applyFont="1" applyAlignment="1" applyProtection="1"/>
    <xf numFmtId="0" fontId="16" fillId="0" borderId="0" xfId="0" applyFont="1" applyAlignment="1">
      <alignment vertical="center"/>
    </xf>
    <xf numFmtId="183" fontId="5" fillId="0" borderId="0" xfId="0" applyNumberFormat="1" applyFont="1" applyProtection="1"/>
    <xf numFmtId="2" fontId="5" fillId="0" borderId="0" xfId="0" applyNumberFormat="1" applyFont="1" applyProtection="1"/>
    <xf numFmtId="0" fontId="9" fillId="0" borderId="1" xfId="0" applyFont="1" applyBorder="1"/>
    <xf numFmtId="0" fontId="0" fillId="0" borderId="1" xfId="0" applyBorder="1" applyAlignment="1">
      <alignment vertical="center"/>
    </xf>
    <xf numFmtId="165" fontId="0" fillId="0" borderId="3" xfId="0" applyNumberFormat="1" applyBorder="1" applyAlignment="1" applyProtection="1">
      <alignment horizontal="center"/>
    </xf>
    <xf numFmtId="172" fontId="10" fillId="0" borderId="0" xfId="0" applyNumberFormat="1" applyFont="1" applyAlignment="1">
      <alignment horizontal="center"/>
    </xf>
    <xf numFmtId="175" fontId="10" fillId="0" borderId="0" xfId="0" applyNumberFormat="1" applyFont="1" applyAlignment="1">
      <alignment horizontal="center"/>
    </xf>
    <xf numFmtId="178" fontId="10" fillId="0" borderId="0" xfId="0" applyNumberFormat="1" applyFont="1" applyProtection="1"/>
    <xf numFmtId="0" fontId="6" fillId="0" borderId="0" xfId="0" applyFont="1" applyAlignment="1"/>
    <xf numFmtId="168" fontId="10" fillId="0" borderId="0" xfId="0" applyNumberFormat="1" applyFont="1" applyProtection="1"/>
    <xf numFmtId="177" fontId="10" fillId="0" borderId="0" xfId="0" applyNumberFormat="1" applyFont="1" applyProtection="1"/>
    <xf numFmtId="1" fontId="10" fillId="0" borderId="0" xfId="0" applyNumberFormat="1" applyFont="1" applyProtection="1"/>
    <xf numFmtId="172" fontId="10" fillId="0" borderId="0" xfId="0" applyNumberFormat="1" applyFont="1" applyProtection="1"/>
    <xf numFmtId="169" fontId="10" fillId="0" borderId="0" xfId="0" applyNumberFormat="1" applyFont="1" applyProtection="1"/>
    <xf numFmtId="0" fontId="10" fillId="0" borderId="0" xfId="0" applyFont="1" applyAlignment="1" applyProtection="1"/>
    <xf numFmtId="0" fontId="18" fillId="0" borderId="0" xfId="0" applyFont="1" applyAlignment="1">
      <alignment vertical="center"/>
    </xf>
    <xf numFmtId="183" fontId="10" fillId="0" borderId="0" xfId="0" applyNumberFormat="1" applyFont="1" applyProtection="1"/>
    <xf numFmtId="2" fontId="10" fillId="0" borderId="0" xfId="0" applyNumberFormat="1" applyFont="1" applyProtection="1"/>
    <xf numFmtId="167" fontId="10" fillId="0" borderId="0" xfId="0" applyNumberFormat="1" applyFont="1" applyProtection="1"/>
    <xf numFmtId="180" fontId="10" fillId="0" borderId="0" xfId="0" applyNumberFormat="1" applyFont="1" applyProtection="1"/>
    <xf numFmtId="0" fontId="10" fillId="0" borderId="0" xfId="0" applyNumberFormat="1" applyFont="1" applyAlignment="1" applyProtection="1"/>
    <xf numFmtId="0" fontId="0" fillId="0" borderId="10" xfId="0" applyFill="1" applyBorder="1"/>
    <xf numFmtId="20" fontId="0" fillId="0" borderId="10" xfId="0" applyNumberFormat="1" applyBorder="1" applyAlignment="1">
      <alignment horizontal="right"/>
    </xf>
    <xf numFmtId="0" fontId="0" fillId="0" borderId="10" xfId="0" applyBorder="1"/>
    <xf numFmtId="20" fontId="0" fillId="0" borderId="11" xfId="0" applyNumberFormat="1" applyBorder="1" applyAlignment="1">
      <alignment horizontal="right"/>
    </xf>
    <xf numFmtId="178" fontId="0" fillId="0" borderId="1" xfId="0" applyNumberFormat="1" applyBorder="1" applyAlignment="1">
      <alignment horizontal="right"/>
    </xf>
    <xf numFmtId="178" fontId="0" fillId="0" borderId="12" xfId="0" applyNumberFormat="1" applyBorder="1" applyAlignment="1">
      <alignment horizontal="right"/>
    </xf>
    <xf numFmtId="179" fontId="0" fillId="2" borderId="13" xfId="0" applyNumberFormat="1" applyFill="1" applyBorder="1" applyAlignment="1" applyProtection="1">
      <alignment horizontal="right"/>
      <protection locked="0"/>
    </xf>
    <xf numFmtId="168" fontId="0" fillId="2" borderId="13" xfId="0" applyNumberFormat="1" applyFill="1" applyBorder="1" applyAlignment="1" applyProtection="1">
      <alignment horizontal="right"/>
      <protection locked="0"/>
    </xf>
    <xf numFmtId="169" fontId="0" fillId="2" borderId="14" xfId="0" applyNumberFormat="1" applyFill="1" applyBorder="1" applyAlignment="1" applyProtection="1">
      <alignment horizontal="right"/>
      <protection locked="0"/>
    </xf>
    <xf numFmtId="169" fontId="0" fillId="2" borderId="15" xfId="0" applyNumberFormat="1" applyFill="1" applyBorder="1" applyAlignment="1" applyProtection="1">
      <alignment horizontal="right"/>
      <protection locked="0"/>
    </xf>
    <xf numFmtId="169" fontId="0" fillId="3" borderId="14" xfId="0" applyNumberFormat="1" applyFill="1" applyBorder="1" applyAlignment="1" applyProtection="1">
      <alignment horizontal="right"/>
      <protection locked="0"/>
    </xf>
    <xf numFmtId="179" fontId="0" fillId="3" borderId="13" xfId="0" applyNumberFormat="1" applyFill="1" applyBorder="1" applyAlignment="1" applyProtection="1">
      <alignment horizontal="right"/>
      <protection locked="0"/>
    </xf>
    <xf numFmtId="168" fontId="0" fillId="3" borderId="13" xfId="0" applyNumberFormat="1" applyFill="1" applyBorder="1" applyAlignment="1" applyProtection="1">
      <alignment horizontal="right"/>
      <protection locked="0"/>
    </xf>
    <xf numFmtId="169" fontId="0" fillId="3" borderId="15" xfId="0" applyNumberFormat="1" applyFill="1" applyBorder="1" applyAlignment="1" applyProtection="1">
      <alignment horizontal="right"/>
      <protection locked="0"/>
    </xf>
    <xf numFmtId="20" fontId="0" fillId="0" borderId="12" xfId="0" applyNumberFormat="1" applyBorder="1" applyAlignment="1">
      <alignment horizontal="right"/>
    </xf>
    <xf numFmtId="20" fontId="0" fillId="0" borderId="1" xfId="0" applyNumberFormat="1" applyBorder="1" applyAlignment="1">
      <alignment horizontal="right"/>
    </xf>
    <xf numFmtId="0" fontId="0" fillId="0" borderId="4" xfId="0" applyBorder="1"/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0" fillId="0" borderId="5" xfId="0" applyBorder="1"/>
    <xf numFmtId="14" fontId="0" fillId="0" borderId="1" xfId="0" applyNumberFormat="1" applyBorder="1" applyAlignment="1" applyProtection="1">
      <alignment horizontal="right"/>
      <protection locked="0"/>
    </xf>
    <xf numFmtId="14" fontId="0" fillId="2" borderId="13" xfId="0" applyNumberFormat="1" applyFill="1" applyBorder="1" applyAlignment="1" applyProtection="1">
      <protection locked="0"/>
    </xf>
    <xf numFmtId="0" fontId="0" fillId="0" borderId="1" xfId="0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</xf>
    <xf numFmtId="0" fontId="0" fillId="0" borderId="1" xfId="0" applyBorder="1" applyAlignment="1" applyProtection="1">
      <alignment horizontal="right"/>
    </xf>
    <xf numFmtId="14" fontId="0" fillId="0" borderId="12" xfId="0" applyNumberFormat="1" applyBorder="1" applyAlignment="1" applyProtection="1"/>
    <xf numFmtId="0" fontId="0" fillId="0" borderId="12" xfId="0" applyBorder="1" applyAlignment="1" applyProtection="1">
      <protection locked="0"/>
    </xf>
    <xf numFmtId="176" fontId="0" fillId="0" borderId="1" xfId="0" applyNumberFormat="1" applyBorder="1" applyAlignment="1" applyProtection="1">
      <alignment horizontal="right"/>
      <protection locked="0"/>
    </xf>
    <xf numFmtId="176" fontId="0" fillId="0" borderId="12" xfId="0" applyNumberFormat="1" applyBorder="1" applyAlignment="1" applyProtection="1"/>
    <xf numFmtId="165" fontId="0" fillId="0" borderId="1" xfId="0" applyNumberFormat="1" applyBorder="1" applyAlignment="1" applyProtection="1">
      <alignment horizontal="right"/>
      <protection locked="0"/>
    </xf>
    <xf numFmtId="165" fontId="0" fillId="2" borderId="13" xfId="0" applyNumberFormat="1" applyFill="1" applyBorder="1" applyAlignment="1" applyProtection="1">
      <protection locked="0"/>
    </xf>
    <xf numFmtId="178" fontId="0" fillId="0" borderId="1" xfId="0" applyNumberFormat="1" applyBorder="1" applyAlignment="1" applyProtection="1">
      <alignment horizontal="right"/>
      <protection locked="0"/>
    </xf>
    <xf numFmtId="178" fontId="0" fillId="3" borderId="13" xfId="0" applyNumberFormat="1" applyFill="1" applyBorder="1" applyAlignment="1" applyProtection="1">
      <protection locked="0"/>
    </xf>
    <xf numFmtId="0" fontId="0" fillId="0" borderId="6" xfId="0" applyBorder="1"/>
    <xf numFmtId="20" fontId="0" fillId="3" borderId="15" xfId="0" applyNumberFormat="1" applyFill="1" applyBorder="1" applyAlignment="1" applyProtection="1">
      <protection locked="0"/>
    </xf>
    <xf numFmtId="0" fontId="8" fillId="0" borderId="0" xfId="0" applyFont="1" applyAlignment="1"/>
    <xf numFmtId="164" fontId="19" fillId="0" borderId="0" xfId="0" applyNumberFormat="1" applyFont="1"/>
    <xf numFmtId="168" fontId="0" fillId="0" borderId="3" xfId="0" applyNumberFormat="1" applyFont="1" applyFill="1" applyBorder="1" applyAlignment="1" applyProtection="1">
      <alignment horizontal="center"/>
      <protection locked="0"/>
    </xf>
    <xf numFmtId="0" fontId="0" fillId="0" borderId="7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9" xfId="0" applyBorder="1" applyAlignment="1">
      <alignment horizontal="center" vertical="center" textRotation="90" wrapText="1"/>
    </xf>
    <xf numFmtId="0" fontId="9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/>
    </xf>
    <xf numFmtId="0" fontId="11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1" xfId="0" applyFont="1" applyBorder="1" applyAlignment="1">
      <alignment horizontal="left"/>
    </xf>
  </cellXfs>
  <cellStyles count="2">
    <cellStyle name="Komma" xfId="1" builtinId="3"/>
    <cellStyle name="Standard" xfId="0" builtinId="0" customBuiltin="1"/>
  </cellStyles>
  <dxfs count="11">
    <dxf>
      <font>
        <color rgb="FFFFFFFF"/>
      </font>
    </dxf>
    <dxf>
      <font>
        <color rgb="FFFFFFFF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</dxfs>
  <tableStyles count="0"/>
  <colors>
    <mruColors>
      <color rgb="FF00D7D2"/>
      <color rgb="FF00FFFF"/>
      <color rgb="FF5D74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24563985576568"/>
          <c:y val="7.8477732436331216E-2"/>
          <c:w val="0.63013704639573243"/>
          <c:h val="0.70889198242484885"/>
        </c:manualLayout>
      </c:layout>
      <c:barChart>
        <c:barDir val="col"/>
        <c:grouping val="clustered"/>
        <c:varyColors val="0"/>
        <c:ser>
          <c:idx val="2"/>
          <c:order val="0"/>
          <c:tx>
            <c:v>Belastung in Watt</c:v>
          </c:tx>
          <c:spPr>
            <a:solidFill>
              <a:srgbClr val="00FFFF">
                <a:alpha val="50000"/>
              </a:srgbClr>
            </a:solidFill>
            <a:ln w="9525">
              <a:solidFill>
                <a:srgbClr val="305496"/>
              </a:solidFill>
            </a:ln>
          </c:spPr>
          <c:invertIfNegative val="0"/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1'!$A$13:$A$21</c:f>
              <c:numCache>
                <c:formatCode>0\ "W"</c:formatCode>
                <c:ptCount val="9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2-3B8F-4ED4-B51D-AE57A26EA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9"/>
        <c:axId val="649596832"/>
        <c:axId val="649596176"/>
      </c:barChart>
      <c:lineChart>
        <c:grouping val="standard"/>
        <c:varyColors val="0"/>
        <c:ser>
          <c:idx val="3"/>
          <c:order val="1"/>
          <c:tx>
            <c:v>Herzfrequenz</c:v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8"/>
            <c:spPr>
              <a:noFill/>
              <a:ln w="15875">
                <a:solidFill>
                  <a:srgbClr val="FF0000"/>
                </a:solidFill>
              </a:ln>
            </c:spPr>
          </c:marker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1'!$E$13:$E$21</c:f>
              <c:numCache>
                <c:formatCode>0\ "b/min"</c:formatCode>
                <c:ptCount val="9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124</c:v>
                </c:pt>
                <c:pt idx="5">
                  <c:v>100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3-3B8F-4ED4-B51D-AE57A26EADAB}"/>
            </c:ext>
          </c:extLst>
        </c:ser>
        <c:ser>
          <c:idx val="0"/>
          <c:order val="2"/>
          <c:tx>
            <c:v>RR</c:v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'Test 1'!$F$13:$F$21</c:f>
                <c:numCache>
                  <c:formatCode>General</c:formatCode>
                  <c:ptCount val="9"/>
                  <c:pt idx="0">
                    <c:v>50</c:v>
                  </c:pt>
                  <c:pt idx="1">
                    <c:v>55</c:v>
                  </c:pt>
                  <c:pt idx="2">
                    <c:v>75</c:v>
                  </c:pt>
                  <c:pt idx="3">
                    <c:v>85</c:v>
                  </c:pt>
                  <c:pt idx="4">
                    <c:v>55</c:v>
                  </c:pt>
                  <c:pt idx="5">
                    <c:v>50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numCache>
              </c:numRef>
            </c:minus>
            <c:spPr>
              <a:ln w="15875"/>
            </c:spPr>
          </c:errBars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1'!$C$13:$C$21</c:f>
              <c:numCache>
                <c:formatCode>0\ "mm Hg"</c:formatCode>
                <c:ptCount val="9"/>
                <c:pt idx="0">
                  <c:v>120</c:v>
                </c:pt>
                <c:pt idx="1">
                  <c:v>130</c:v>
                </c:pt>
                <c:pt idx="2">
                  <c:v>145</c:v>
                </c:pt>
                <c:pt idx="3">
                  <c:v>160</c:v>
                </c:pt>
                <c:pt idx="4">
                  <c:v>130</c:v>
                </c:pt>
                <c:pt idx="5">
                  <c:v>120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1"/>
      </c:lineChart>
      <c:lineChart>
        <c:grouping val="standard"/>
        <c:varyColors val="0"/>
        <c:ser>
          <c:idx val="1"/>
          <c:order val="3"/>
          <c:tx>
            <c:v>200 W</c:v>
          </c:tx>
          <c:spPr>
            <a:ln>
              <a:noFill/>
            </a:ln>
          </c:spPr>
          <c:marker>
            <c:symbol val="none"/>
          </c:marker>
          <c:val>
            <c:numRef>
              <c:f>'Test 1'!$AC$13:$AC$21</c:f>
              <c:numCache>
                <c:formatCode>0\ "W"</c:formatCode>
                <c:ptCount val="9"/>
                <c:pt idx="0">
                  <c:v>80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9596832"/>
        <c:axId val="649596176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000000"/>
                    </a:solidFill>
                    <a:latin typeface="Calibri" charset="0"/>
                  </a:defRPr>
                </a:pPr>
                <a:r>
                  <a:rPr lang="de-DE" sz="1400"/>
                  <a:t>Zeitverlauf  [min ]</a:t>
                </a:r>
              </a:p>
            </c:rich>
          </c:tx>
          <c:layout>
            <c:manualLayout>
              <c:xMode val="edge"/>
              <c:yMode val="edge"/>
              <c:x val="0.29846153846153844"/>
              <c:y val="0.92722280905189935"/>
              <c:w val="0.17374999999999999"/>
              <c:h val="4.9500000000000002E-2"/>
            </c:manualLayout>
          </c:layout>
          <c:overlay val="0"/>
          <c:spPr>
            <a:noFill/>
            <a:ln w="19050">
              <a:noFill/>
            </a:ln>
          </c:spPr>
        </c:title>
        <c:numFmt formatCode="[$-F400]h:mm:ss\ AM/PM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200"/>
            </a:pPr>
            <a:endParaRPr lang="de-DE"/>
          </a:p>
        </c:txPr>
        <c:crossAx val="11"/>
        <c:crosses val="autoZero"/>
        <c:auto val="0"/>
        <c:lblAlgn val="l"/>
        <c:lblOffset val="100"/>
        <c:noMultiLvlLbl val="0"/>
      </c:catAx>
      <c:valAx>
        <c:axId val="11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>
                    <a:solidFill>
                      <a:srgbClr val="5D7430"/>
                    </a:solidFill>
                  </a:rPr>
                  <a:t>RR   syst / diast.  [ mm Hg ]</a:t>
                </a:r>
                <a:r>
                  <a:rPr lang="de-DE" sz="1400"/>
                  <a:t> </a:t>
                </a:r>
              </a:p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/>
                  <a:t>Pulsfrequenz  [ b / min ]</a:t>
                </a:r>
              </a:p>
            </c:rich>
          </c:tx>
          <c:layout>
            <c:manualLayout>
              <c:xMode val="edge"/>
              <c:yMode val="edge"/>
              <c:x val="5.9191464703275726E-4"/>
              <c:y val="0.23701294934818229"/>
              <c:w val="0.247"/>
              <c:h val="0.1245"/>
            </c:manualLayout>
          </c:layout>
          <c:overlay val="0"/>
          <c:spPr>
            <a:solidFill>
              <a:srgbClr val="FFFFFF"/>
            </a:solidFill>
            <a:ln w="19050">
              <a:noFill/>
            </a:ln>
          </c:spPr>
        </c:title>
        <c:numFmt formatCode="0\ 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crossAx val="10"/>
        <c:crosses val="autoZero"/>
        <c:crossBetween val="between"/>
      </c:valAx>
      <c:valAx>
        <c:axId val="649596176"/>
        <c:scaling>
          <c:orientation val="minMax"/>
        </c:scaling>
        <c:delete val="0"/>
        <c:axPos val="r"/>
        <c:majorGridlines>
          <c:spPr>
            <a:ln w="3175">
              <a:solidFill>
                <a:srgbClr val="00FFFF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>
                    <a:solidFill>
                      <a:srgbClr val="00D7D2"/>
                    </a:solidFill>
                  </a:defRPr>
                </a:pPr>
                <a:r>
                  <a:rPr lang="en-US">
                    <a:solidFill>
                      <a:srgbClr val="00D7D2"/>
                    </a:solidFill>
                  </a:rPr>
                  <a:t>Belastung [ Watt ]</a:t>
                </a:r>
              </a:p>
            </c:rich>
          </c:tx>
          <c:layout/>
          <c:overlay val="0"/>
        </c:title>
        <c:numFmt formatCode="0\ &quot;W&quot;" sourceLinked="1"/>
        <c:majorTickMark val="out"/>
        <c:minorTickMark val="none"/>
        <c:tickLblPos val="nextTo"/>
        <c:crossAx val="649596832"/>
        <c:crosses val="max"/>
        <c:crossBetween val="between"/>
        <c:majorUnit val="50"/>
      </c:valAx>
      <c:catAx>
        <c:axId val="64959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9596176"/>
        <c:crosses val="autoZero"/>
        <c:auto val="0"/>
        <c:lblAlgn val="ctr"/>
        <c:lblOffset val="100"/>
        <c:noMultiLvlLbl val="0"/>
      </c:catAx>
      <c:spPr>
        <a:gradFill>
          <a:gsLst>
            <a:gs pos="0">
              <a:srgbClr val="FFFFCC"/>
            </a:gs>
            <a:gs pos="100000">
              <a:srgbClr val="FFFFFF"/>
            </a:gs>
          </a:gsLst>
          <a:lin ang="5400000"/>
          <a:tileRect/>
        </a:gradFill>
        <a:ln w="9525">
          <a:solidFill>
            <a:srgbClr val="808080"/>
          </a:solidFill>
        </a:ln>
      </c:spPr>
    </c:plotArea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7393031416148"/>
          <c:y val="7.2851901799567867E-2"/>
          <c:w val="0.70513456195899415"/>
          <c:h val="0.7463685271385275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bg2">
                  <a:lumMod val="60000"/>
                  <a:lumOff val="40000"/>
                </a:schemeClr>
              </a:solidFill>
            </c:spPr>
          </c:marker>
          <c:trendline>
            <c:spPr>
              <a:ln w="19050">
                <a:solidFill>
                  <a:schemeClr val="bg2">
                    <a:lumMod val="60000"/>
                    <a:lumOff val="40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1'!$AW$5:$AW$11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1'!$AV$5:$AV$11</c:f>
              <c:numCache>
                <c:formatCode>General</c:formatCode>
                <c:ptCount val="7"/>
                <c:pt idx="0">
                  <c:v>1.4</c:v>
                </c:pt>
                <c:pt idx="1">
                  <c:v>1.7</c:v>
                </c:pt>
                <c:pt idx="2">
                  <c:v>2.7</c:v>
                </c:pt>
                <c:pt idx="3">
                  <c:v>4.2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6A5-41B5-B82C-004A54DAE7B2}"/>
            </c:ext>
          </c:extLst>
        </c:ser>
        <c:ser>
          <c:idx val="4"/>
          <c:order val="1"/>
          <c:tx>
            <c:v>LT1 Test 1</c:v>
          </c:tx>
          <c:spPr>
            <a:ln w="25400">
              <a:solidFill>
                <a:schemeClr val="bg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'Test 1'!$AW$5:$AW$11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1'!$AX$5:$AX$11</c:f>
              <c:numCache>
                <c:formatCode>0.0</c:formatCode>
                <c:ptCount val="7"/>
                <c:pt idx="0">
                  <c:v>1.5999999999999999</c:v>
                </c:pt>
                <c:pt idx="1">
                  <c:v>1.5999999999999999</c:v>
                </c:pt>
                <c:pt idx="2">
                  <c:v>1.5999999999999999</c:v>
                </c:pt>
                <c:pt idx="3">
                  <c:v>1.5999999999999999</c:v>
                </c:pt>
                <c:pt idx="4">
                  <c:v>1.5999999999999999</c:v>
                </c:pt>
                <c:pt idx="5">
                  <c:v>1.5999999999999999</c:v>
                </c:pt>
                <c:pt idx="6">
                  <c:v>1.5999999999999999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6A5-41B5-B82C-004A54DAE7B2}"/>
            </c:ext>
          </c:extLst>
        </c:ser>
        <c:ser>
          <c:idx val="5"/>
          <c:order val="2"/>
          <c:tx>
            <c:v>LT2  Test 1</c:v>
          </c:tx>
          <c:spPr>
            <a:ln w="19050">
              <a:solidFill>
                <a:schemeClr val="bg2">
                  <a:lumMod val="60000"/>
                  <a:lumOff val="4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1'!$AW$5:$AW$11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1'!$BD$5:$BD$11</c:f>
              <c:numCache>
                <c:formatCode>0.0</c:formatCode>
                <c:ptCount val="7"/>
                <c:pt idx="0">
                  <c:v>3.0999999999999996</c:v>
                </c:pt>
                <c:pt idx="1">
                  <c:v>3.0999999999999996</c:v>
                </c:pt>
                <c:pt idx="2">
                  <c:v>3.0999999999999996</c:v>
                </c:pt>
                <c:pt idx="3">
                  <c:v>3.0999999999999996</c:v>
                </c:pt>
                <c:pt idx="4">
                  <c:v>3.0999999999999996</c:v>
                </c:pt>
                <c:pt idx="5">
                  <c:v>3.0999999999999996</c:v>
                </c:pt>
                <c:pt idx="6">
                  <c:v>3.0999999999999996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6A5-41B5-B82C-004A54DAE7B2}"/>
            </c:ext>
          </c:extLst>
        </c:ser>
        <c:ser>
          <c:idx val="0"/>
          <c:order val="3"/>
          <c:tx>
            <c:strRef>
              <c:f>'Test 2'!$G$3</c:f>
              <c:strCache>
                <c:ptCount val="1"/>
                <c:pt idx="0">
                  <c:v>01.01.20</c:v>
                </c:pt>
              </c:strCache>
            </c:strRef>
          </c:tx>
          <c:spPr>
            <a:ln w="22225">
              <a:noFill/>
            </a:ln>
          </c:spPr>
          <c:marker>
            <c:symbol val="diamond"/>
            <c:size val="7"/>
            <c:spPr>
              <a:solidFill>
                <a:schemeClr val="accent2">
                  <a:lumMod val="75000"/>
                </a:schemeClr>
              </a:solidFill>
              <a:ln>
                <a:solidFill>
                  <a:schemeClr val="accent2">
                    <a:lumMod val="75000"/>
                  </a:schemeClr>
                </a:solidFill>
              </a:ln>
            </c:spPr>
          </c:marker>
          <c:trendline>
            <c:spPr>
              <a:ln w="15875">
                <a:solidFill>
                  <a:schemeClr val="accent2">
                    <a:lumMod val="75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2'!$BI$5:$BI$11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2'!$BH$5:$BH$12</c:f>
              <c:numCache>
                <c:formatCode>General</c:formatCode>
                <c:ptCount val="8"/>
                <c:pt idx="0">
                  <c:v>1.3</c:v>
                </c:pt>
                <c:pt idx="1">
                  <c:v>1.3</c:v>
                </c:pt>
                <c:pt idx="2">
                  <c:v>1.9</c:v>
                </c:pt>
                <c:pt idx="3">
                  <c:v>2.6</c:v>
                </c:pt>
                <c:pt idx="4">
                  <c:v>4.2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6A5-41B5-B82C-004A54DAE7B2}"/>
            </c:ext>
          </c:extLst>
        </c:ser>
        <c:ser>
          <c:idx val="1"/>
          <c:order val="4"/>
          <c:tx>
            <c:v>LT1 Test2</c:v>
          </c:tx>
          <c:spPr>
            <a:ln w="19050">
              <a:solidFill>
                <a:schemeClr val="accent2">
                  <a:lumMod val="75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'Test 2'!$BT$5:$BT$11</c:f>
              <c:numCache>
                <c:formatCode>General</c:formatCode>
                <c:ptCount val="7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>
                  <c:v>135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2'!$BU$5:$BU$11</c:f>
              <c:numCache>
                <c:formatCode>General</c:formatCode>
                <c:ptCount val="7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6A5-41B5-B82C-004A54DAE7B2}"/>
            </c:ext>
          </c:extLst>
        </c:ser>
        <c:ser>
          <c:idx val="2"/>
          <c:order val="5"/>
          <c:tx>
            <c:v>LT2 Test 2</c:v>
          </c:tx>
          <c:spPr>
            <a:ln w="19050">
              <a:solidFill>
                <a:schemeClr val="accent2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2'!$BI$5:$BI$11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2'!$BP$5:$BP$11</c:f>
              <c:numCache>
                <c:formatCode>0.0</c:formatCode>
                <c:ptCount val="7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6A5-41B5-B82C-004A54DAE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</c:scaling>
        <c:delete val="0"/>
        <c:axPos val="b"/>
        <c:majorGridlines>
          <c:spPr>
            <a:ln w="9525">
              <a:solidFill>
                <a:srgbClr val="D8D8D8"/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Belastung</a:t>
                </a:r>
                <a:r>
                  <a:rPr lang="de-DE" baseline="0"/>
                  <a:t> ( Watt </a:t>
                </a:r>
                <a:r>
                  <a:rPr lang="de-DE"/>
                  <a:t>)</a:t>
                </a:r>
              </a:p>
            </c:rich>
          </c:tx>
          <c:layout>
            <c:manualLayout>
              <c:xMode val="edge"/>
              <c:yMode val="edge"/>
              <c:x val="0.32224445259170031"/>
              <c:y val="0.91793876710729272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"/>
        <c:crosses val="autoZero"/>
        <c:crossBetween val="midCat"/>
        <c:minorUnit val="10"/>
      </c:val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chemeClr val="bg1">
                  <a:lumMod val="65000"/>
                </a:schemeClr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Laktat (mmol/l)</a:t>
                </a:r>
              </a:p>
            </c:rich>
          </c:tx>
          <c:layout>
            <c:manualLayout>
              <c:xMode val="edge"/>
              <c:yMode val="edge"/>
              <c:x val="8.52755056103424E-3"/>
              <c:y val="0.28374994562143824"/>
              <c:w val="5.7250000000000002E-2"/>
              <c:h val="0.31025000000000003"/>
            </c:manualLayout>
          </c:layout>
          <c:overlay val="0"/>
          <c:spPr>
            <a:noFill/>
            <a:ln w="9525">
              <a:noFill/>
            </a:ln>
          </c:spPr>
        </c:title>
        <c:numFmt formatCode="0.0" sourceLinked="0"/>
        <c:majorTickMark val="out"/>
        <c:minorTickMark val="in"/>
        <c:tickLblPos val="nextTo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/>
          <a:tileRect/>
        </a:gradFill>
        <a:ln w="9525">
          <a:solidFill>
            <a:srgbClr val="000000"/>
          </a:solidFill>
        </a:ln>
      </c:spPr>
    </c:plotArea>
    <c:legend>
      <c:legendPos val="r"/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0.78341994010536209"/>
          <c:y val="0.2095029550827423"/>
          <c:w val="0.2097636751770644"/>
          <c:h val="0.44208685926390245"/>
        </c:manualLayout>
      </c:layout>
      <c:overlay val="1"/>
      <c:spPr>
        <a:noFill/>
        <a:ln w="9525">
          <a:noFill/>
        </a:ln>
      </c:spPr>
      <c:txPr>
        <a:bodyPr/>
        <a:lstStyle/>
        <a:p>
          <a:pPr>
            <a:defRPr sz="1200" b="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rgbClr val="D8D8D8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7393031416148"/>
          <c:y val="7.2851901799567867E-2"/>
          <c:w val="0.70513456195899415"/>
          <c:h val="0.7463685271385275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bg2">
                  <a:lumMod val="60000"/>
                  <a:lumOff val="40000"/>
                </a:schemeClr>
              </a:solidFill>
            </c:spPr>
          </c:marker>
          <c:trendline>
            <c:spPr>
              <a:ln w="19050">
                <a:solidFill>
                  <a:schemeClr val="bg2">
                    <a:lumMod val="60000"/>
                    <a:lumOff val="40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1'!$BH$5:$BH$11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1'!$BG$5:$BG$11</c:f>
              <c:numCache>
                <c:formatCode>General</c:formatCode>
                <c:ptCount val="7"/>
                <c:pt idx="0">
                  <c:v>1.4</c:v>
                </c:pt>
                <c:pt idx="1">
                  <c:v>1.7</c:v>
                </c:pt>
                <c:pt idx="2">
                  <c:v>2.7</c:v>
                </c:pt>
                <c:pt idx="3">
                  <c:v>4.2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FE-4F6C-AC2A-11A5F77A8E26}"/>
            </c:ext>
          </c:extLst>
        </c:ser>
        <c:ser>
          <c:idx val="4"/>
          <c:order val="1"/>
          <c:tx>
            <c:v>LT1 Test 1</c:v>
          </c:tx>
          <c:spPr>
            <a:ln w="25400">
              <a:solidFill>
                <a:schemeClr val="bg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'Test 1'!$BH$5:$BH$11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1'!$BI$5:$BI$11</c:f>
              <c:numCache>
                <c:formatCode>General</c:formatCode>
                <c:ptCount val="7"/>
                <c:pt idx="0">
                  <c:v>1.5999999999999999</c:v>
                </c:pt>
                <c:pt idx="1">
                  <c:v>1.5999999999999999</c:v>
                </c:pt>
                <c:pt idx="2">
                  <c:v>1.5999999999999999</c:v>
                </c:pt>
                <c:pt idx="3">
                  <c:v>1.5999999999999999</c:v>
                </c:pt>
                <c:pt idx="4">
                  <c:v>1.5999999999999999</c:v>
                </c:pt>
                <c:pt idx="5">
                  <c:v>1.5999999999999999</c:v>
                </c:pt>
                <c:pt idx="6">
                  <c:v>1.5999999999999999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FE-4F6C-AC2A-11A5F77A8E26}"/>
            </c:ext>
          </c:extLst>
        </c:ser>
        <c:ser>
          <c:idx val="5"/>
          <c:order val="2"/>
          <c:tx>
            <c:v>LT2  Test 1</c:v>
          </c:tx>
          <c:spPr>
            <a:ln w="19050">
              <a:solidFill>
                <a:schemeClr val="bg2">
                  <a:lumMod val="60000"/>
                  <a:lumOff val="4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1'!$BH$5:$BH$11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1'!$BO$5:$BO$11</c:f>
              <c:numCache>
                <c:formatCode>General</c:formatCode>
                <c:ptCount val="7"/>
                <c:pt idx="0">
                  <c:v>3.0999999999999996</c:v>
                </c:pt>
                <c:pt idx="1">
                  <c:v>3.0999999999999996</c:v>
                </c:pt>
                <c:pt idx="2">
                  <c:v>3.0999999999999996</c:v>
                </c:pt>
                <c:pt idx="3">
                  <c:v>3.0999999999999996</c:v>
                </c:pt>
                <c:pt idx="4">
                  <c:v>3.0999999999999996</c:v>
                </c:pt>
                <c:pt idx="5">
                  <c:v>3.0999999999999996</c:v>
                </c:pt>
                <c:pt idx="6">
                  <c:v>3.0999999999999996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FE-4F6C-AC2A-11A5F77A8E26}"/>
            </c:ext>
          </c:extLst>
        </c:ser>
        <c:ser>
          <c:idx val="0"/>
          <c:order val="3"/>
          <c:tx>
            <c:strRef>
              <c:f>'Test 2'!$G$3</c:f>
              <c:strCache>
                <c:ptCount val="1"/>
                <c:pt idx="0">
                  <c:v>01.01.20</c:v>
                </c:pt>
              </c:strCache>
            </c:strRef>
          </c:tx>
          <c:spPr>
            <a:ln w="22225">
              <a:noFill/>
            </a:ln>
          </c:spPr>
          <c:marker>
            <c:symbol val="diamond"/>
            <c:size val="7"/>
            <c:spPr>
              <a:solidFill>
                <a:schemeClr val="accent2">
                  <a:lumMod val="75000"/>
                </a:schemeClr>
              </a:solidFill>
              <a:ln>
                <a:solidFill>
                  <a:schemeClr val="accent2">
                    <a:lumMod val="75000"/>
                  </a:schemeClr>
                </a:solidFill>
              </a:ln>
            </c:spPr>
          </c:marker>
          <c:trendline>
            <c:spPr>
              <a:ln w="15875">
                <a:solidFill>
                  <a:schemeClr val="accent2">
                    <a:lumMod val="75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2'!$BT$5:$BT$11</c:f>
              <c:numCache>
                <c:formatCode>General</c:formatCode>
                <c:ptCount val="7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>
                  <c:v>135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2'!$BS$5:$BS$11</c:f>
              <c:numCache>
                <c:formatCode>General</c:formatCode>
                <c:ptCount val="7"/>
                <c:pt idx="0">
                  <c:v>1.3</c:v>
                </c:pt>
                <c:pt idx="1">
                  <c:v>1.3</c:v>
                </c:pt>
                <c:pt idx="2">
                  <c:v>1.9</c:v>
                </c:pt>
                <c:pt idx="3">
                  <c:v>2.6</c:v>
                </c:pt>
                <c:pt idx="4">
                  <c:v>4.2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FE-4F6C-AC2A-11A5F77A8E26}"/>
            </c:ext>
          </c:extLst>
        </c:ser>
        <c:ser>
          <c:idx val="1"/>
          <c:order val="4"/>
          <c:tx>
            <c:v>LT1 Test 2</c:v>
          </c:tx>
          <c:spPr>
            <a:ln w="19050">
              <a:solidFill>
                <a:schemeClr val="accent2">
                  <a:lumMod val="75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'Test 2'!$BT$5:$BT$11</c:f>
              <c:numCache>
                <c:formatCode>General</c:formatCode>
                <c:ptCount val="7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>
                  <c:v>135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2'!$BU$5:$BU$11</c:f>
              <c:numCache>
                <c:formatCode>General</c:formatCode>
                <c:ptCount val="7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FE-4F6C-AC2A-11A5F77A8E26}"/>
            </c:ext>
          </c:extLst>
        </c:ser>
        <c:ser>
          <c:idx val="2"/>
          <c:order val="5"/>
          <c:tx>
            <c:v>LT2 Test 2</c:v>
          </c:tx>
          <c:spPr>
            <a:ln w="19050">
              <a:solidFill>
                <a:schemeClr val="accent2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2'!$BT$5:$BT$11</c:f>
              <c:numCache>
                <c:formatCode>General</c:formatCode>
                <c:ptCount val="7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>
                  <c:v>135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2'!$CA$5:$CA$11</c:f>
              <c:numCache>
                <c:formatCode>General</c:formatCode>
                <c:ptCount val="7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FE-4F6C-AC2A-11A5F77A8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in val="50"/>
        </c:scaling>
        <c:delete val="0"/>
        <c:axPos val="b"/>
        <c:majorGridlines>
          <c:spPr>
            <a:ln w="9525">
              <a:solidFill>
                <a:srgbClr val="D8D8D8"/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Herzfrequenz  (b/min)</a:t>
                </a:r>
              </a:p>
            </c:rich>
          </c:tx>
          <c:layout>
            <c:manualLayout>
              <c:xMode val="edge"/>
              <c:yMode val="edge"/>
              <c:x val="0.39097826363937527"/>
              <c:y val="0.90623163817230024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"/>
        <c:crosses val="autoZero"/>
        <c:crossBetween val="midCat"/>
        <c:minorUnit val="5"/>
      </c:val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chemeClr val="bg1">
                  <a:lumMod val="65000"/>
                </a:schemeClr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Laktat (mmol/l)</a:t>
                </a:r>
              </a:p>
            </c:rich>
          </c:tx>
          <c:layout>
            <c:manualLayout>
              <c:xMode val="edge"/>
              <c:yMode val="edge"/>
              <c:x val="8.52755056103424E-3"/>
              <c:y val="0.28374994562143824"/>
              <c:w val="5.7250000000000002E-2"/>
              <c:h val="0.31025000000000003"/>
            </c:manualLayout>
          </c:layout>
          <c:overlay val="0"/>
          <c:spPr>
            <a:noFill/>
            <a:ln w="9525">
              <a:noFill/>
            </a:ln>
          </c:spPr>
        </c:title>
        <c:numFmt formatCode="0.0" sourceLinked="0"/>
        <c:majorTickMark val="out"/>
        <c:minorTickMark val="in"/>
        <c:tickLblPos val="nextTo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/>
          <a:tileRect/>
        </a:gradFill>
        <a:ln w="9525">
          <a:solidFill>
            <a:srgbClr val="000000"/>
          </a:solidFill>
        </a:ln>
      </c:spPr>
    </c:plotArea>
    <c:legend>
      <c:legendPos val="r"/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0.78342002248381482"/>
          <c:y val="0.20319223465644071"/>
          <c:w val="0.2097636751770644"/>
          <c:h val="0.43818452216343112"/>
        </c:manualLayout>
      </c:layout>
      <c:overlay val="1"/>
      <c:spPr>
        <a:noFill/>
        <a:ln w="9525">
          <a:noFill/>
        </a:ln>
      </c:spPr>
      <c:txPr>
        <a:bodyPr/>
        <a:lstStyle/>
        <a:p>
          <a:pPr>
            <a:defRPr sz="1200" b="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rgbClr val="D8D8D8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548503317355145"/>
          <c:y val="0.12378477043020671"/>
          <c:w val="0.73014672491402322"/>
          <c:h val="0.71201879666398038"/>
        </c:manualLayout>
      </c:layout>
      <c:scatterChart>
        <c:scatterStyle val="lineMarker"/>
        <c:varyColors val="0"/>
        <c:ser>
          <c:idx val="0"/>
          <c:order val="0"/>
          <c:tx>
            <c:strRef>
              <c:f>'MET &amp; PWC (2)'!$D$13</c:f>
              <c:strCache>
                <c:ptCount val="1"/>
                <c:pt idx="0">
                  <c:v>15.03.19</c:v>
                </c:pt>
              </c:strCache>
            </c:strRef>
          </c:tx>
          <c:spPr>
            <a:ln w="9525">
              <a:noFill/>
            </a:ln>
          </c:spPr>
          <c:marker>
            <c:symbol val="diamond"/>
            <c:size val="7"/>
          </c:marker>
          <c:xVal>
            <c:numRef>
              <c:f>'MET &amp; PWC (2)'!$H$13</c:f>
              <c:numCache>
                <c:formatCode>#,##0.0</c:formatCode>
                <c:ptCount val="1"/>
                <c:pt idx="0">
                  <c:v>1.3734939759036144</c:v>
                </c:pt>
              </c:numCache>
            </c:numRef>
          </c:xVal>
          <c:yVal>
            <c:numRef>
              <c:f>'MET &amp; PWC (2)'!$G$13</c:f>
              <c:numCache>
                <c:formatCode>#,##0.0</c:formatCode>
                <c:ptCount val="1"/>
                <c:pt idx="0">
                  <c:v>4.0597590361445786</c:v>
                </c:pt>
              </c:numCache>
            </c:numRef>
          </c:y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3DC7-4604-81A6-BEB2A51D0B33}"/>
            </c:ext>
          </c:extLst>
        </c:ser>
        <c:ser>
          <c:idx val="1"/>
          <c:order val="1"/>
          <c:tx>
            <c:strRef>
              <c:f>'MET &amp; PWC (2)'!$D$14</c:f>
              <c:strCache>
                <c:ptCount val="1"/>
                <c:pt idx="0">
                  <c:v>01.01.20</c:v>
                </c:pt>
              </c:strCache>
            </c:strRef>
          </c:tx>
          <c:spPr>
            <a:ln w="28575">
              <a:noFill/>
            </a:ln>
          </c:spPr>
          <c:xVal>
            <c:numRef>
              <c:f>'MET &amp; PWC (2)'!$H$14</c:f>
              <c:numCache>
                <c:formatCode>#,##0.0</c:formatCode>
                <c:ptCount val="1"/>
                <c:pt idx="0">
                  <c:v>1.875</c:v>
                </c:pt>
              </c:numCache>
            </c:numRef>
          </c:xVal>
          <c:yVal>
            <c:numRef>
              <c:f>'MET &amp; PWC (2)'!$G$14</c:f>
              <c:numCache>
                <c:formatCode>#,##0.0</c:formatCode>
                <c:ptCount val="1"/>
                <c:pt idx="0">
                  <c:v>6.2711999999999994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DC7-4604-81A6-BEB2A51D0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ax val="3"/>
          <c:min val="0"/>
        </c:scaling>
        <c:delete val="0"/>
        <c:axPos val="b"/>
        <c:majorGridlines/>
        <c:title>
          <c:tx>
            <c:rich>
              <a:bodyPr anchor="ctr" anchorCtr="1"/>
              <a:lstStyle/>
              <a:p>
                <a:pPr>
                  <a:defRPr lang="de-de" sz="1200" b="1" i="0" u="none" strike="noStrike" kern="100">
                    <a:solidFill>
                      <a:srgbClr val="000000"/>
                    </a:solidFill>
                    <a:latin typeface="Futura Bk BT" charset="0"/>
                  </a:defRPr>
                </a:pPr>
                <a:r>
                  <a:rPr lang="de-DE"/>
                  <a:t>Physical Working Capacity 130  [ Watt / kg bei 130 b/min ]</a:t>
                </a:r>
              </a:p>
            </c:rich>
          </c:tx>
          <c:layout>
            <c:manualLayout>
              <c:xMode val="edge"/>
              <c:yMode val="edge"/>
              <c:x val="0.17699999999999999"/>
              <c:y val="0.94374999999999998"/>
              <c:w val="0.73524999999999996"/>
              <c:h val="5.1249999999999997E-2"/>
            </c:manualLayout>
          </c:layout>
          <c:overlay val="0"/>
          <c:spPr>
            <a:ln>
              <a:noFill/>
            </a:ln>
          </c:spPr>
        </c:title>
        <c:numFmt formatCode="#,##0.0" sourceLinked="0"/>
        <c:majorTickMark val="out"/>
        <c:minorTickMark val="in"/>
        <c:tickLblPos val="nextTo"/>
        <c:crossAx val="11"/>
        <c:crosses val="autoZero"/>
        <c:crossBetween val="midCat"/>
        <c:majorUnit val="1"/>
        <c:minorUnit val="0.5"/>
      </c:valAx>
      <c:valAx>
        <c:axId val="11"/>
        <c:scaling>
          <c:orientation val="minMax"/>
          <c:max val="9"/>
          <c:min val="0"/>
        </c:scaling>
        <c:delete val="0"/>
        <c:axPos val="l"/>
        <c:majorGridlines/>
        <c:title>
          <c:tx>
            <c:rich>
              <a:bodyPr rot="16200000" anchor="ctr" anchorCtr="1"/>
              <a:lstStyle/>
              <a:p>
                <a:pPr>
                  <a:defRPr lang="de-de" sz="1200" b="1" i="0" u="none" strike="noStrike" kern="100">
                    <a:solidFill>
                      <a:srgbClr val="000000"/>
                    </a:solidFill>
                    <a:latin typeface="Futura Bk BT" charset="0"/>
                  </a:defRPr>
                </a:pPr>
                <a:r>
                  <a:rPr lang="de-DE"/>
                  <a:t>zusätzlicher Kalorienverbrauch an LT</a:t>
                </a:r>
                <a:r>
                  <a:rPr lang="de-DE" baseline="-25000"/>
                  <a:t>2</a:t>
                </a:r>
                <a:r>
                  <a:rPr lang="de-DE"/>
                  <a:t/>
                </a:r>
                <a:br>
                  <a:rPr lang="de-DE"/>
                </a:br>
                <a:r>
                  <a:rPr lang="de-DE"/>
                  <a:t> in MET ( kcal</a:t>
                </a:r>
                <a:r>
                  <a:rPr lang="de-DE" baseline="0"/>
                  <a:t> </a:t>
                </a:r>
                <a:r>
                  <a:rPr lang="de-DE"/>
                  <a:t>/</a:t>
                </a:r>
                <a:r>
                  <a:rPr lang="de-DE" baseline="0"/>
                  <a:t> </a:t>
                </a:r>
                <a:r>
                  <a:rPr lang="de-DE"/>
                  <a:t>kg / h )</a:t>
                </a:r>
              </a:p>
            </c:rich>
          </c:tx>
          <c:layout>
            <c:manualLayout>
              <c:xMode val="edge"/>
              <c:yMode val="edge"/>
              <c:x val="2.8993905272802115E-2"/>
              <c:y val="0.23048671320523897"/>
              <c:w val="6.275E-2"/>
              <c:h val="0.70374999999999999"/>
            </c:manualLayout>
          </c:layout>
          <c:overlay val="0"/>
          <c:spPr>
            <a:ln>
              <a:noFill/>
            </a:ln>
          </c:spPr>
        </c:title>
        <c:numFmt formatCode="#,##0.0" sourceLinked="1"/>
        <c:majorTickMark val="out"/>
        <c:minorTickMark val="in"/>
        <c:tickLblPos val="nextTo"/>
        <c:crossAx val="10"/>
        <c:crosses val="autoZero"/>
        <c:crossBetween val="midCat"/>
        <c:majorUnit val="3"/>
        <c:minorUnit val="1"/>
      </c:valAx>
      <c:spPr>
        <a:blipFill>
          <a:blip xmlns:r="http://schemas.openxmlformats.org/officeDocument/2006/relationships" r:embed="rId1"/>
          <a:stretch>
            <a:fillRect/>
          </a:stretch>
        </a:blipFill>
      </c:spPr>
    </c:plotArea>
    <c:legend>
      <c:legendPos val="r"/>
      <c:layout>
        <c:manualLayout>
          <c:xMode val="edge"/>
          <c:yMode val="edge"/>
          <c:x val="0.74026297032359756"/>
          <c:y val="0.66093264852374334"/>
          <c:w val="0.17241008611942676"/>
          <c:h val="0.10476848840257486"/>
        </c:manualLayout>
      </c:layout>
      <c:overlay val="0"/>
    </c:legend>
    <c:plotVisOnly val="1"/>
    <c:dispBlanksAs val="gap"/>
    <c:showDLblsOverMax val="0"/>
  </c:chart>
  <c:txPr>
    <a:bodyPr rot="0" anchor="t"/>
    <a:lstStyle/>
    <a:p>
      <a:pPr>
        <a:defRPr lang="de-de" sz="1400" b="0" i="0" u="none" strike="noStrike" kern="100">
          <a:solidFill>
            <a:srgbClr val="000000"/>
          </a:solidFill>
          <a:latin typeface="Futura Bk BT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48697916666666"/>
          <c:y val="5.0447600496326336E-2"/>
          <c:w val="0.69972274305555549"/>
          <c:h val="0.736112561854267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'PWC 130'!$A$6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7"/>
            <c:spPr>
              <a:solidFill>
                <a:schemeClr val="bg2">
                  <a:lumMod val="60000"/>
                  <a:lumOff val="40000"/>
                </a:schemeClr>
              </a:solidFill>
              <a:ln>
                <a:solidFill>
                  <a:srgbClr val="4472C4"/>
                </a:solidFill>
              </a:ln>
            </c:spPr>
          </c:marker>
          <c:xVal>
            <c:numRef>
              <c:f>'PWC 130'!$G$8</c:f>
              <c:numCache>
                <c:formatCode>0.0</c:formatCode>
                <c:ptCount val="1"/>
                <c:pt idx="0">
                  <c:v>55.906849315068492</c:v>
                </c:pt>
              </c:numCache>
            </c:numRef>
          </c:xVal>
          <c:yVal>
            <c:numRef>
              <c:f>'PWC 130'!$G$6</c:f>
              <c:numCache>
                <c:formatCode>0.0\ "W/kg"</c:formatCode>
                <c:ptCount val="1"/>
                <c:pt idx="0">
                  <c:v>1.3734939759036144</c:v>
                </c:pt>
              </c:numCache>
            </c:numRef>
          </c:y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2A9F-45AA-83E3-B0BEF4488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ax val="70"/>
          <c:min val="30"/>
        </c:scaling>
        <c:delete val="0"/>
        <c:axPos val="b"/>
        <c:majorGridlines>
          <c:spPr>
            <a:ln w="9525">
              <a:solidFill>
                <a:srgbClr val="7F7F7F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Jahre</a:t>
                </a:r>
              </a:p>
            </c:rich>
          </c:tx>
          <c:layout>
            <c:manualLayout>
              <c:xMode val="edge"/>
              <c:yMode val="edge"/>
              <c:x val="0.50875000000000004"/>
              <c:y val="0.90825"/>
              <c:w val="0.10575"/>
              <c:h val="7.9750000000000001E-2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525">
            <a:solidFill>
              <a:srgbClr val="BFBFBF"/>
            </a:solidFill>
          </a:ln>
        </c:spPr>
        <c:txPr>
          <a:bodyPr rot="0" vert="horz" anchor="ctr" anchorCtr="1"/>
          <a:lstStyle/>
          <a:p>
            <a:pPr>
              <a:defRPr lang="de-de" sz="1400" b="0" i="0" u="none" strike="noStrike" kern="100">
                <a:solidFill>
                  <a:srgbClr val="595959"/>
                </a:solidFill>
                <a:latin typeface="Calibri" charset="0"/>
              </a:defRPr>
            </a:pPr>
            <a:endParaRPr lang="de-DE"/>
          </a:p>
        </c:txPr>
        <c:crossAx val="11"/>
        <c:crosses val="autoZero"/>
        <c:crossBetween val="midCat"/>
        <c:majorUnit val="10"/>
      </c:valAx>
      <c:valAx>
        <c:axId val="11"/>
        <c:scaling>
          <c:orientation val="minMax"/>
          <c:max val="3"/>
        </c:scaling>
        <c:delete val="0"/>
        <c:axPos val="l"/>
        <c:majorGridlines>
          <c:spPr>
            <a:ln w="9525">
              <a:solidFill>
                <a:srgbClr val="7F7F7F"/>
              </a:solidFill>
            </a:ln>
          </c:spPr>
        </c:maj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PWC 130  (Watt / kg )</a:t>
                </a:r>
              </a:p>
            </c:rich>
          </c:tx>
          <c:layout/>
          <c:overlay val="0"/>
          <c:spPr>
            <a:noFill/>
            <a:ln w="9525">
              <a:noFill/>
            </a:ln>
          </c:spPr>
        </c:title>
        <c:numFmt formatCode="0.0" sourceLinked="0"/>
        <c:majorTickMark val="none"/>
        <c:minorTickMark val="none"/>
        <c:tickLblPos val="nextTo"/>
        <c:spPr>
          <a:ln w="9525">
            <a:solidFill>
              <a:srgbClr val="BFBFBF"/>
            </a:solidFill>
          </a:ln>
        </c:spPr>
        <c:txPr>
          <a:bodyPr rot="-5400000" vert="horz" anchor="ctr" anchorCtr="1"/>
          <a:lstStyle/>
          <a:p>
            <a:pPr>
              <a:defRPr lang="de-de" sz="1400" b="0" i="0" u="none" strike="noStrike" kern="100" baseline="0">
                <a:solidFill>
                  <a:srgbClr val="595959"/>
                </a:solidFill>
                <a:latin typeface="Calibri" charset="0"/>
              </a:defRPr>
            </a:pPr>
            <a:endParaRPr lang="de-DE"/>
          </a:p>
        </c:txPr>
        <c:crossAx val="10"/>
        <c:crosses val="autoZero"/>
        <c:crossBetween val="midCat"/>
      </c:valAx>
      <c:spPr>
        <a:blipFill>
          <a:blip xmlns:r="http://schemas.openxmlformats.org/officeDocument/2006/relationships" r:embed="rId1"/>
          <a:stretch>
            <a:fillRect/>
          </a:stretch>
        </a:blipFill>
        <a:ln w="19050">
          <a:noFill/>
        </a:ln>
      </c:spPr>
    </c:plotArea>
    <c:legend>
      <c:legendPos val="r"/>
      <c:layout>
        <c:manualLayout>
          <c:xMode val="edge"/>
          <c:yMode val="edge"/>
          <c:x val="0.83899826388888887"/>
          <c:y val="0.35451950812728633"/>
          <c:w val="0.13686701388888889"/>
          <c:h val="7.4722997333565966E-2"/>
        </c:manualLayout>
      </c:layout>
      <c:overlay val="0"/>
      <c:txPr>
        <a:bodyPr/>
        <a:lstStyle/>
        <a:p>
          <a:pPr>
            <a:defRPr sz="1200" b="1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chemeClr val="tx1"/>
      </a:solidFill>
    </a:ln>
  </c:spPr>
  <c:txPr>
    <a:bodyPr rot="0" anchor="t"/>
    <a:lstStyle/>
    <a:p>
      <a:pPr>
        <a:defRPr lang="de-de" sz="1400" b="0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PWC 130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428851850371495"/>
          <c:y val="0.14569322176803259"/>
          <c:w val="0.69794149305555553"/>
          <c:h val="0.65798922350680455"/>
        </c:manualLayout>
      </c:layout>
      <c:scatterChart>
        <c:scatterStyle val="lineMarker"/>
        <c:varyColors val="0"/>
        <c:ser>
          <c:idx val="4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808080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1'!$AO$5:$AO$11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1'!$AL$5:$AL$11</c:f>
              <c:numCache>
                <c:formatCode>0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2FB-4E7C-ABAE-42240B282BD6}"/>
            </c:ext>
          </c:extLst>
        </c:ser>
        <c:ser>
          <c:idx val="1"/>
          <c:order val="1"/>
          <c:tx>
            <c:v>HF 130</c:v>
          </c:tx>
          <c:spPr>
            <a:ln w="2222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'Test 1'!$AM$5:$AM$11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xVal>
          <c:yVal>
            <c:numRef>
              <c:f>'Test 1'!$AN$5:$AN$11</c:f>
              <c:numCache>
                <c:formatCode>General</c:formatCode>
                <c:ptCount val="7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28-4EC4-AE3B-FCF945A133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103392"/>
        <c:axId val="480108968"/>
      </c:scatterChart>
      <c:valAx>
        <c:axId val="480103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Leistung ( Watt 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out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8968"/>
        <c:crosses val="autoZero"/>
        <c:crossBetween val="midCat"/>
      </c:valAx>
      <c:valAx>
        <c:axId val="48010896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Herzfrequenz ( b / min )</a:t>
                </a:r>
              </a:p>
            </c:rich>
          </c:tx>
          <c:layout>
            <c:manualLayout>
              <c:xMode val="edge"/>
              <c:yMode val="edge"/>
              <c:x val="2.5631944444444435E-3"/>
              <c:y val="0.224936793994751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3392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 scaled="0"/>
        </a:gradFill>
        <a:ln>
          <a:noFill/>
        </a:ln>
        <a:effectLst/>
      </c:spPr>
    </c:plotArea>
    <c:legend>
      <c:legendPos val="r"/>
      <c:legendEntry>
        <c:idx val="2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solidFill>
        <a:srgbClr val="808080"/>
      </a:solidFill>
      <a:round/>
    </a:ln>
    <a:effectLst/>
  </c:spPr>
  <c:txPr>
    <a:bodyPr/>
    <a:lstStyle/>
    <a:p>
      <a:pPr>
        <a:defRPr sz="1400" b="1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87551657835894"/>
          <c:y val="7.2851901799567867E-2"/>
          <c:w val="0.71419100566387395"/>
          <c:h val="0.7463685271385275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trendline>
            <c:spPr>
              <a:ln w="15875">
                <a:solidFill>
                  <a:schemeClr val="bg2">
                    <a:lumMod val="60000"/>
                    <a:lumOff val="40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1'!$AW$5:$AW$11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1'!$AV$5:$AV$11</c:f>
              <c:numCache>
                <c:formatCode>General</c:formatCode>
                <c:ptCount val="7"/>
                <c:pt idx="0">
                  <c:v>1.4</c:v>
                </c:pt>
                <c:pt idx="1">
                  <c:v>1.7</c:v>
                </c:pt>
                <c:pt idx="2">
                  <c:v>2.7</c:v>
                </c:pt>
                <c:pt idx="3">
                  <c:v>4.2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D88-4A22-8734-B3BD1FBF039D}"/>
            </c:ext>
          </c:extLst>
        </c:ser>
        <c:ser>
          <c:idx val="1"/>
          <c:order val="1"/>
          <c:tx>
            <c:v>LT1 Test 1</c:v>
          </c:tx>
          <c:spPr>
            <a:ln w="25400">
              <a:solidFill>
                <a:schemeClr val="bg2">
                  <a:lumMod val="60000"/>
                  <a:lumOff val="40000"/>
                </a:schemeClr>
              </a:solidFill>
              <a:prstDash val="sysDot"/>
            </a:ln>
          </c:spPr>
          <c:marker>
            <c:spPr>
              <a:noFill/>
              <a:ln>
                <a:noFill/>
              </a:ln>
            </c:spPr>
          </c:marker>
          <c:xVal>
            <c:numRef>
              <c:f>'Test 1'!$AW$5:$AW$11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1'!$AX$5:$AX$11</c:f>
              <c:numCache>
                <c:formatCode>0.0</c:formatCode>
                <c:ptCount val="7"/>
                <c:pt idx="0">
                  <c:v>1.5999999999999999</c:v>
                </c:pt>
                <c:pt idx="1">
                  <c:v>1.5999999999999999</c:v>
                </c:pt>
                <c:pt idx="2">
                  <c:v>1.5999999999999999</c:v>
                </c:pt>
                <c:pt idx="3">
                  <c:v>1.5999999999999999</c:v>
                </c:pt>
                <c:pt idx="4">
                  <c:v>1.5999999999999999</c:v>
                </c:pt>
                <c:pt idx="5">
                  <c:v>1.5999999999999999</c:v>
                </c:pt>
                <c:pt idx="6">
                  <c:v>1.5999999999999999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D88-4A22-8734-B3BD1FBF039D}"/>
            </c:ext>
          </c:extLst>
        </c:ser>
        <c:ser>
          <c:idx val="2"/>
          <c:order val="2"/>
          <c:tx>
            <c:v>LT2 Test 1</c:v>
          </c:tx>
          <c:spPr>
            <a:ln w="19050">
              <a:solidFill>
                <a:schemeClr val="bg2">
                  <a:lumMod val="60000"/>
                  <a:lumOff val="4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1'!$AW$5:$AW$11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1'!$BD$5:$BD$11</c:f>
              <c:numCache>
                <c:formatCode>0.0</c:formatCode>
                <c:ptCount val="7"/>
                <c:pt idx="0">
                  <c:v>3.0999999999999996</c:v>
                </c:pt>
                <c:pt idx="1">
                  <c:v>3.0999999999999996</c:v>
                </c:pt>
                <c:pt idx="2">
                  <c:v>3.0999999999999996</c:v>
                </c:pt>
                <c:pt idx="3">
                  <c:v>3.0999999999999996</c:v>
                </c:pt>
                <c:pt idx="4">
                  <c:v>3.0999999999999996</c:v>
                </c:pt>
                <c:pt idx="5">
                  <c:v>3.0999999999999996</c:v>
                </c:pt>
                <c:pt idx="6">
                  <c:v>3.0999999999999996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D88-4A22-8734-B3BD1FBF03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</c:scaling>
        <c:delete val="0"/>
        <c:axPos val="b"/>
        <c:majorGridlines>
          <c:spPr>
            <a:ln w="9525">
              <a:solidFill>
                <a:srgbClr val="D8D8D8"/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Belastung (Watt)</a:t>
                </a:r>
              </a:p>
            </c:rich>
          </c:tx>
          <c:layout>
            <c:manualLayout>
              <c:xMode val="edge"/>
              <c:yMode val="edge"/>
              <c:x val="0.39097826363937527"/>
              <c:y val="0.90623163817230024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"/>
        <c:crosses val="autoZero"/>
        <c:crossBetween val="midCat"/>
        <c:minorUnit val="10"/>
      </c:val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chemeClr val="bg1">
                  <a:lumMod val="65000"/>
                </a:schemeClr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Laktat (mmol/l)</a:t>
                </a:r>
              </a:p>
            </c:rich>
          </c:tx>
          <c:layout>
            <c:manualLayout>
              <c:xMode val="edge"/>
              <c:yMode val="edge"/>
              <c:x val="8.52755056103424E-3"/>
              <c:y val="0.28374994562143824"/>
              <c:w val="5.7250000000000002E-2"/>
              <c:h val="0.31025000000000003"/>
            </c:manualLayout>
          </c:layout>
          <c:overlay val="0"/>
          <c:spPr>
            <a:noFill/>
            <a:ln w="9525">
              <a:noFill/>
            </a:ln>
          </c:spPr>
        </c:title>
        <c:numFmt formatCode="0.0" sourceLinked="0"/>
        <c:majorTickMark val="out"/>
        <c:minorTickMark val="in"/>
        <c:tickLblPos val="nextTo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/>
          <a:tileRect/>
        </a:gradFill>
        <a:ln w="9525">
          <a:solidFill>
            <a:srgbClr val="000000"/>
          </a:solidFill>
        </a:ln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79222335325694504"/>
          <c:y val="0.22076187990313365"/>
          <c:w val="0.20777664674305502"/>
          <c:h val="0.2561418439716312"/>
        </c:manualLayout>
      </c:layout>
      <c:overlay val="1"/>
      <c:spPr>
        <a:noFill/>
        <a:ln w="9525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solidFill>
        <a:srgbClr val="D8D8D8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66200988301646"/>
          <c:y val="7.2851901799567867E-2"/>
          <c:w val="0.7184679845761619"/>
          <c:h val="0.7463685271385275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bg2">
                  <a:lumMod val="60000"/>
                  <a:lumOff val="40000"/>
                </a:schemeClr>
              </a:solidFill>
            </c:spPr>
          </c:marker>
          <c:trendline>
            <c:spPr>
              <a:ln w="19050">
                <a:solidFill>
                  <a:schemeClr val="bg2">
                    <a:lumMod val="60000"/>
                    <a:lumOff val="40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1'!$BH$5:$BH$11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1'!$BG$5:$BG$11</c:f>
              <c:numCache>
                <c:formatCode>General</c:formatCode>
                <c:ptCount val="7"/>
                <c:pt idx="0">
                  <c:v>1.4</c:v>
                </c:pt>
                <c:pt idx="1">
                  <c:v>1.7</c:v>
                </c:pt>
                <c:pt idx="2">
                  <c:v>2.7</c:v>
                </c:pt>
                <c:pt idx="3">
                  <c:v>4.2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7C6D-4514-93B9-7A189A2CA0BD}"/>
            </c:ext>
          </c:extLst>
        </c:ser>
        <c:ser>
          <c:idx val="4"/>
          <c:order val="1"/>
          <c:tx>
            <c:v>LT1 Test 1</c:v>
          </c:tx>
          <c:spPr>
            <a:ln w="25400">
              <a:solidFill>
                <a:schemeClr val="bg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'Test 1'!$BH$5:$BH$11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1'!$BI$5:$BI$11</c:f>
              <c:numCache>
                <c:formatCode>General</c:formatCode>
                <c:ptCount val="7"/>
                <c:pt idx="0">
                  <c:v>1.5999999999999999</c:v>
                </c:pt>
                <c:pt idx="1">
                  <c:v>1.5999999999999999</c:v>
                </c:pt>
                <c:pt idx="2">
                  <c:v>1.5999999999999999</c:v>
                </c:pt>
                <c:pt idx="3">
                  <c:v>1.5999999999999999</c:v>
                </c:pt>
                <c:pt idx="4">
                  <c:v>1.5999999999999999</c:v>
                </c:pt>
                <c:pt idx="5">
                  <c:v>1.5999999999999999</c:v>
                </c:pt>
                <c:pt idx="6">
                  <c:v>1.5999999999999999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7C6D-4514-93B9-7A189A2CA0BD}"/>
            </c:ext>
          </c:extLst>
        </c:ser>
        <c:ser>
          <c:idx val="5"/>
          <c:order val="2"/>
          <c:tx>
            <c:v>LT2  Test 1</c:v>
          </c:tx>
          <c:spPr>
            <a:ln w="19050">
              <a:solidFill>
                <a:schemeClr val="bg2">
                  <a:lumMod val="60000"/>
                  <a:lumOff val="4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1'!$BH$5:$BH$11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1'!$BO$5:$BO$11</c:f>
              <c:numCache>
                <c:formatCode>General</c:formatCode>
                <c:ptCount val="7"/>
                <c:pt idx="0">
                  <c:v>3.0999999999999996</c:v>
                </c:pt>
                <c:pt idx="1">
                  <c:v>3.0999999999999996</c:v>
                </c:pt>
                <c:pt idx="2">
                  <c:v>3.0999999999999996</c:v>
                </c:pt>
                <c:pt idx="3">
                  <c:v>3.0999999999999996</c:v>
                </c:pt>
                <c:pt idx="4">
                  <c:v>3.0999999999999996</c:v>
                </c:pt>
                <c:pt idx="5">
                  <c:v>3.0999999999999996</c:v>
                </c:pt>
                <c:pt idx="6">
                  <c:v>3.0999999999999996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7C6D-4514-93B9-7A189A2CA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in val="60"/>
        </c:scaling>
        <c:delete val="0"/>
        <c:axPos val="b"/>
        <c:majorGridlines>
          <c:spPr>
            <a:ln w="9525">
              <a:solidFill>
                <a:srgbClr val="D8D8D8"/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Herzfrequenz  (b/min)</a:t>
                </a:r>
              </a:p>
            </c:rich>
          </c:tx>
          <c:layout>
            <c:manualLayout>
              <c:xMode val="edge"/>
              <c:yMode val="edge"/>
              <c:x val="0.39097826363937527"/>
              <c:y val="0.90623163817230024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"/>
        <c:crosses val="autoZero"/>
        <c:crossBetween val="midCat"/>
        <c:minorUnit val="5"/>
      </c:val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chemeClr val="bg1">
                  <a:lumMod val="65000"/>
                </a:schemeClr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Laktat (mmol/l)</a:t>
                </a:r>
              </a:p>
            </c:rich>
          </c:tx>
          <c:layout>
            <c:manualLayout>
              <c:xMode val="edge"/>
              <c:yMode val="edge"/>
              <c:x val="8.52755056103424E-3"/>
              <c:y val="0.28374994562143824"/>
              <c:w val="5.7250000000000002E-2"/>
              <c:h val="0.31025000000000003"/>
            </c:manualLayout>
          </c:layout>
          <c:overlay val="0"/>
          <c:spPr>
            <a:noFill/>
            <a:ln w="9525">
              <a:noFill/>
            </a:ln>
          </c:spPr>
        </c:title>
        <c:numFmt formatCode="0.0" sourceLinked="0"/>
        <c:majorTickMark val="out"/>
        <c:minorTickMark val="in"/>
        <c:tickLblPos val="nextTo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/>
          <a:tileRect/>
        </a:gradFill>
        <a:ln w="9525">
          <a:solidFill>
            <a:srgbClr val="000000"/>
          </a:solidFill>
        </a:ln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77467087780705246"/>
          <c:y val="0.19824408983451533"/>
          <c:w val="0.22290960110433711"/>
          <c:h val="0.23643971631205674"/>
        </c:manualLayout>
      </c:layout>
      <c:overlay val="1"/>
      <c:spPr>
        <a:noFill/>
        <a:ln w="9525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solidFill>
        <a:srgbClr val="D8D8D8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548503317355145"/>
          <c:y val="0.12378477043020671"/>
          <c:w val="0.73014672491402322"/>
          <c:h val="0.71201879666398038"/>
        </c:manualLayout>
      </c:layout>
      <c:scatterChart>
        <c:scatterStyle val="lineMarker"/>
        <c:varyColors val="0"/>
        <c:ser>
          <c:idx val="0"/>
          <c:order val="0"/>
          <c:tx>
            <c:strRef>
              <c:f>'MET &amp; PWC'!$D$13</c:f>
              <c:strCache>
                <c:ptCount val="1"/>
                <c:pt idx="0">
                  <c:v>15.03.19</c:v>
                </c:pt>
              </c:strCache>
            </c:strRef>
          </c:tx>
          <c:spPr>
            <a:ln w="9525">
              <a:noFill/>
            </a:ln>
          </c:spPr>
          <c:marker>
            <c:symbol val="diamond"/>
            <c:size val="7"/>
          </c:marker>
          <c:xVal>
            <c:numRef>
              <c:f>'MET &amp; PWC'!$H$13</c:f>
              <c:numCache>
                <c:formatCode>#,##0.0</c:formatCode>
                <c:ptCount val="1"/>
                <c:pt idx="0">
                  <c:v>1.3734939759036144</c:v>
                </c:pt>
              </c:numCache>
            </c:numRef>
          </c:xVal>
          <c:yVal>
            <c:numRef>
              <c:f>'MET &amp; PWC'!$G$13</c:f>
              <c:numCache>
                <c:formatCode>#,##0.0</c:formatCode>
                <c:ptCount val="1"/>
                <c:pt idx="0">
                  <c:v>4.0597590361445786</c:v>
                </c:pt>
              </c:numCache>
            </c:numRef>
          </c:y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BD86-4F9D-AFAF-7C6F6939B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ax val="3"/>
          <c:min val="0"/>
        </c:scaling>
        <c:delete val="0"/>
        <c:axPos val="b"/>
        <c:majorGridlines/>
        <c:title>
          <c:tx>
            <c:rich>
              <a:bodyPr anchor="ctr" anchorCtr="1"/>
              <a:lstStyle/>
              <a:p>
                <a:pPr>
                  <a:defRPr lang="de-de" sz="1200" b="1" i="0" u="none" strike="noStrike" kern="100">
                    <a:solidFill>
                      <a:srgbClr val="000000"/>
                    </a:solidFill>
                    <a:latin typeface="Futura Bk BT" charset="0"/>
                  </a:defRPr>
                </a:pPr>
                <a:r>
                  <a:rPr lang="de-DE"/>
                  <a:t>Physical Working Capacity 130  [ Watt / kg bei 130 b/min ]</a:t>
                </a:r>
              </a:p>
            </c:rich>
          </c:tx>
          <c:layout>
            <c:manualLayout>
              <c:xMode val="edge"/>
              <c:yMode val="edge"/>
              <c:x val="0.17699999999999999"/>
              <c:y val="0.94374999999999998"/>
              <c:w val="0.73524999999999996"/>
              <c:h val="5.1249999999999997E-2"/>
            </c:manualLayout>
          </c:layout>
          <c:overlay val="0"/>
          <c:spPr>
            <a:ln>
              <a:noFill/>
            </a:ln>
          </c:spPr>
        </c:title>
        <c:numFmt formatCode="#,##0.0" sourceLinked="0"/>
        <c:majorTickMark val="out"/>
        <c:minorTickMark val="in"/>
        <c:tickLblPos val="nextTo"/>
        <c:crossAx val="11"/>
        <c:crosses val="autoZero"/>
        <c:crossBetween val="midCat"/>
        <c:majorUnit val="1"/>
        <c:minorUnit val="0.5"/>
      </c:valAx>
      <c:valAx>
        <c:axId val="11"/>
        <c:scaling>
          <c:orientation val="minMax"/>
          <c:max val="9"/>
          <c:min val="0"/>
        </c:scaling>
        <c:delete val="0"/>
        <c:axPos val="l"/>
        <c:majorGridlines/>
        <c:title>
          <c:tx>
            <c:rich>
              <a:bodyPr rot="16200000" anchor="ctr" anchorCtr="1"/>
              <a:lstStyle/>
              <a:p>
                <a:pPr>
                  <a:defRPr lang="de-de" sz="1200" b="1" i="0" u="none" strike="noStrike" kern="100">
                    <a:solidFill>
                      <a:srgbClr val="000000"/>
                    </a:solidFill>
                    <a:latin typeface="Futura Bk BT" charset="0"/>
                  </a:defRPr>
                </a:pPr>
                <a:r>
                  <a:rPr lang="de-DE"/>
                  <a:t>zusätzlicher Kalorienverbrauch an LT</a:t>
                </a:r>
                <a:r>
                  <a:rPr lang="de-DE" baseline="-25000"/>
                  <a:t>2</a:t>
                </a:r>
                <a:r>
                  <a:rPr lang="de-DE"/>
                  <a:t/>
                </a:r>
                <a:br>
                  <a:rPr lang="de-DE"/>
                </a:br>
                <a:r>
                  <a:rPr lang="de-DE"/>
                  <a:t> in MET ( kcal</a:t>
                </a:r>
                <a:r>
                  <a:rPr lang="de-DE" baseline="0"/>
                  <a:t> </a:t>
                </a:r>
                <a:r>
                  <a:rPr lang="de-DE"/>
                  <a:t>/</a:t>
                </a:r>
                <a:r>
                  <a:rPr lang="de-DE" baseline="0"/>
                  <a:t> </a:t>
                </a:r>
                <a:r>
                  <a:rPr lang="de-DE"/>
                  <a:t>kg / h )</a:t>
                </a:r>
              </a:p>
            </c:rich>
          </c:tx>
          <c:layout>
            <c:manualLayout>
              <c:xMode val="edge"/>
              <c:yMode val="edge"/>
              <c:x val="2.8993905272802115E-2"/>
              <c:y val="0.23048671320523897"/>
              <c:w val="6.275E-2"/>
              <c:h val="0.70374999999999999"/>
            </c:manualLayout>
          </c:layout>
          <c:overlay val="0"/>
          <c:spPr>
            <a:ln>
              <a:noFill/>
            </a:ln>
          </c:spPr>
        </c:title>
        <c:numFmt formatCode="#,##0.0" sourceLinked="1"/>
        <c:majorTickMark val="out"/>
        <c:minorTickMark val="in"/>
        <c:tickLblPos val="nextTo"/>
        <c:crossAx val="10"/>
        <c:crosses val="autoZero"/>
        <c:crossBetween val="midCat"/>
        <c:majorUnit val="3"/>
        <c:minorUnit val="1"/>
      </c:valAx>
      <c:spPr>
        <a:blipFill>
          <a:blip xmlns:r="http://schemas.openxmlformats.org/officeDocument/2006/relationships" r:embed="rId1"/>
          <a:stretch>
            <a:fillRect/>
          </a:stretch>
        </a:blipFill>
      </c:spPr>
    </c:plotArea>
    <c:legend>
      <c:legendPos val="r"/>
      <c:layout>
        <c:manualLayout>
          <c:xMode val="edge"/>
          <c:yMode val="edge"/>
          <c:x val="0.73174326851316107"/>
          <c:y val="0.65106828354223911"/>
          <c:w val="0.17241008611942676"/>
          <c:h val="0.10476848840257486"/>
        </c:manualLayout>
      </c:layout>
      <c:overlay val="0"/>
      <c:txPr>
        <a:bodyPr/>
        <a:lstStyle/>
        <a:p>
          <a:pPr>
            <a:defRPr sz="1200" b="1"/>
          </a:pPr>
          <a:endParaRPr lang="de-DE"/>
        </a:p>
      </c:txPr>
    </c:legend>
    <c:plotVisOnly val="1"/>
    <c:dispBlanksAs val="gap"/>
    <c:showDLblsOverMax val="0"/>
  </c:chart>
  <c:txPr>
    <a:bodyPr rot="0" anchor="t"/>
    <a:lstStyle/>
    <a:p>
      <a:pPr>
        <a:defRPr lang="de-de" sz="1400" b="0" i="0" u="none" strike="noStrike" kern="100">
          <a:solidFill>
            <a:srgbClr val="000000"/>
          </a:solidFill>
          <a:latin typeface="Futura Bk BT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24563985576568"/>
          <c:y val="7.8477732436331216E-2"/>
          <c:w val="0.62790858006327621"/>
          <c:h val="0.70889198242484885"/>
        </c:manualLayout>
      </c:layout>
      <c:barChart>
        <c:barDir val="col"/>
        <c:grouping val="clustered"/>
        <c:varyColors val="0"/>
        <c:ser>
          <c:idx val="2"/>
          <c:order val="0"/>
          <c:tx>
            <c:v>Belastung in Watt</c:v>
          </c:tx>
          <c:spPr>
            <a:solidFill>
              <a:srgbClr val="00FFFF">
                <a:alpha val="50000"/>
              </a:srgbClr>
            </a:solidFill>
            <a:ln w="9525">
              <a:solidFill>
                <a:srgbClr val="305496"/>
              </a:solidFill>
            </a:ln>
          </c:spPr>
          <c:invertIfNegative val="0"/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2'!$A$13:$A$21</c:f>
              <c:numCache>
                <c:formatCode>0\ "W"</c:formatCode>
                <c:ptCount val="9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0E2E-4EF7-801C-D5FB23B97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9"/>
        <c:axId val="649596832"/>
        <c:axId val="649596176"/>
      </c:barChart>
      <c:lineChart>
        <c:grouping val="standard"/>
        <c:varyColors val="0"/>
        <c:ser>
          <c:idx val="3"/>
          <c:order val="1"/>
          <c:tx>
            <c:v>Herzfrequenz</c:v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8"/>
            <c:spPr>
              <a:noFill/>
              <a:ln w="15875">
                <a:solidFill>
                  <a:srgbClr val="FF0000"/>
                </a:solidFill>
              </a:ln>
            </c:spPr>
          </c:marker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2'!$E$13:$E$21</c:f>
              <c:numCache>
                <c:formatCode>0\ "b/min"</c:formatCode>
                <c:ptCount val="9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>
                  <c:v>135</c:v>
                </c:pt>
                <c:pt idx="5">
                  <c:v>120</c:v>
                </c:pt>
                <c:pt idx="6">
                  <c:v>90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1-0E2E-4EF7-801C-D5FB23B97968}"/>
            </c:ext>
          </c:extLst>
        </c:ser>
        <c:ser>
          <c:idx val="0"/>
          <c:order val="2"/>
          <c:tx>
            <c:v>RR</c:v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'Test 2'!$F$13:$F$21</c:f>
                <c:numCache>
                  <c:formatCode>General</c:formatCode>
                  <c:ptCount val="9"/>
                  <c:pt idx="0">
                    <c:v>40</c:v>
                  </c:pt>
                  <c:pt idx="1">
                    <c:v>50</c:v>
                  </c:pt>
                  <c:pt idx="2">
                    <c:v>60</c:v>
                  </c:pt>
                  <c:pt idx="3">
                    <c:v>75</c:v>
                  </c:pt>
                  <c:pt idx="4">
                    <c:v>90</c:v>
                  </c:pt>
                  <c:pt idx="5">
                    <c:v>60</c:v>
                  </c:pt>
                  <c:pt idx="6">
                    <c:v>50</c:v>
                  </c:pt>
                  <c:pt idx="7">
                    <c:v>#N/A</c:v>
                  </c:pt>
                  <c:pt idx="8">
                    <c:v>#N/A</c:v>
                  </c:pt>
                </c:numCache>
              </c:numRef>
            </c:minus>
            <c:spPr>
              <a:ln w="15875"/>
            </c:spPr>
          </c:errBars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2'!$C$13:$C$21</c:f>
              <c:numCache>
                <c:formatCode>0\ "mm Hg"</c:formatCode>
                <c:ptCount val="9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160</c:v>
                </c:pt>
                <c:pt idx="4">
                  <c:v>180</c:v>
                </c:pt>
                <c:pt idx="5">
                  <c:v>140</c:v>
                </c:pt>
                <c:pt idx="6">
                  <c:v>120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2E-4EF7-801C-D5FB23B97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1"/>
      </c:lineChart>
      <c:lineChart>
        <c:grouping val="standard"/>
        <c:varyColors val="0"/>
        <c:ser>
          <c:idx val="1"/>
          <c:order val="3"/>
          <c:tx>
            <c:v>200 W</c:v>
          </c:tx>
          <c:spPr>
            <a:ln>
              <a:noFill/>
            </a:ln>
          </c:spPr>
          <c:marker>
            <c:symbol val="none"/>
          </c:marker>
          <c:val>
            <c:numRef>
              <c:f>'Test 2'!$AO$13:$AO$21</c:f>
              <c:numCache>
                <c:formatCode>0\ "W"</c:formatCode>
                <c:ptCount val="9"/>
                <c:pt idx="0">
                  <c:v>80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2E-4EF7-801C-D5FB23B97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9596832"/>
        <c:axId val="649596176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000000"/>
                    </a:solidFill>
                    <a:latin typeface="Calibri" charset="0"/>
                  </a:defRPr>
                </a:pPr>
                <a:r>
                  <a:rPr lang="de-DE" sz="1400"/>
                  <a:t>Zeitverlauf  [min ]</a:t>
                </a:r>
              </a:p>
            </c:rich>
          </c:tx>
          <c:layout>
            <c:manualLayout>
              <c:xMode val="edge"/>
              <c:yMode val="edge"/>
              <c:x val="0.29846153846153844"/>
              <c:y val="0.92722280905189935"/>
              <c:w val="0.17374999999999999"/>
              <c:h val="4.9500000000000002E-2"/>
            </c:manualLayout>
          </c:layout>
          <c:overlay val="0"/>
          <c:spPr>
            <a:noFill/>
            <a:ln w="19050">
              <a:noFill/>
            </a:ln>
          </c:spPr>
        </c:title>
        <c:numFmt formatCode="[$-F400]h:mm:ss\ AM/PM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200"/>
            </a:pPr>
            <a:endParaRPr lang="de-DE"/>
          </a:p>
        </c:txPr>
        <c:crossAx val="11"/>
        <c:crosses val="autoZero"/>
        <c:auto val="0"/>
        <c:lblAlgn val="l"/>
        <c:lblOffset val="100"/>
        <c:noMultiLvlLbl val="0"/>
      </c:catAx>
      <c:valAx>
        <c:axId val="11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>
                    <a:solidFill>
                      <a:srgbClr val="5D7430"/>
                    </a:solidFill>
                  </a:rPr>
                  <a:t>RR   syst / diast.  [ mm Hg ]</a:t>
                </a:r>
                <a:r>
                  <a:rPr lang="de-DE" sz="1400"/>
                  <a:t> </a:t>
                </a:r>
              </a:p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/>
                  <a:t>Pulsfrequenz  [ b / min ]</a:t>
                </a:r>
              </a:p>
            </c:rich>
          </c:tx>
          <c:layout>
            <c:manualLayout>
              <c:xMode val="edge"/>
              <c:yMode val="edge"/>
              <c:x val="5.9191464703275726E-4"/>
              <c:y val="0.23701294934818229"/>
              <c:w val="0.247"/>
              <c:h val="0.1245"/>
            </c:manualLayout>
          </c:layout>
          <c:overlay val="0"/>
          <c:spPr>
            <a:solidFill>
              <a:srgbClr val="FFFFFF"/>
            </a:solidFill>
            <a:ln w="19050">
              <a:noFill/>
            </a:ln>
          </c:spPr>
        </c:title>
        <c:numFmt formatCode="0\ 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crossAx val="10"/>
        <c:crosses val="autoZero"/>
        <c:crossBetween val="between"/>
      </c:valAx>
      <c:valAx>
        <c:axId val="649596176"/>
        <c:scaling>
          <c:orientation val="minMax"/>
        </c:scaling>
        <c:delete val="0"/>
        <c:axPos val="r"/>
        <c:majorGridlines>
          <c:spPr>
            <a:ln w="3175">
              <a:solidFill>
                <a:srgbClr val="00FFFF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>
                    <a:solidFill>
                      <a:srgbClr val="00D7D2"/>
                    </a:solidFill>
                  </a:defRPr>
                </a:pPr>
                <a:r>
                  <a:rPr lang="en-US">
                    <a:solidFill>
                      <a:srgbClr val="00D7D2"/>
                    </a:solidFill>
                  </a:rPr>
                  <a:t>Belastung [ Watt ]</a:t>
                </a:r>
              </a:p>
            </c:rich>
          </c:tx>
          <c:layout>
            <c:manualLayout>
              <c:xMode val="edge"/>
              <c:yMode val="edge"/>
              <c:x val="0.94993146417445484"/>
              <c:y val="0.21036646952955265"/>
            </c:manualLayout>
          </c:layout>
          <c:overlay val="0"/>
        </c:title>
        <c:numFmt formatCode="0\ &quot;W&quot;" sourceLinked="1"/>
        <c:majorTickMark val="out"/>
        <c:minorTickMark val="none"/>
        <c:tickLblPos val="nextTo"/>
        <c:crossAx val="649596832"/>
        <c:crosses val="max"/>
        <c:crossBetween val="between"/>
        <c:majorUnit val="50"/>
      </c:valAx>
      <c:catAx>
        <c:axId val="64959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9596176"/>
        <c:crosses val="autoZero"/>
        <c:auto val="0"/>
        <c:lblAlgn val="ctr"/>
        <c:lblOffset val="100"/>
        <c:noMultiLvlLbl val="0"/>
      </c:catAx>
      <c:spPr>
        <a:gradFill>
          <a:gsLst>
            <a:gs pos="0">
              <a:srgbClr val="FFFFCC"/>
            </a:gs>
            <a:gs pos="100000">
              <a:srgbClr val="FFFFFF"/>
            </a:gs>
          </a:gsLst>
          <a:lin ang="5400000"/>
          <a:tileRect/>
        </a:gradFill>
        <a:ln w="9525">
          <a:solidFill>
            <a:srgbClr val="808080"/>
          </a:solidFill>
        </a:ln>
      </c:spPr>
    </c:plotArea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25781250000001"/>
          <c:y val="5.0447600496326336E-2"/>
          <c:w val="0.68649357638888886"/>
          <c:h val="0.736112561854267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'PWC 130 (2)'!$A$6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7"/>
            <c:spPr>
              <a:solidFill>
                <a:schemeClr val="bg2">
                  <a:lumMod val="60000"/>
                  <a:lumOff val="40000"/>
                </a:schemeClr>
              </a:solidFill>
              <a:ln>
                <a:solidFill>
                  <a:srgbClr val="4472C4"/>
                </a:solidFill>
              </a:ln>
            </c:spPr>
          </c:marker>
          <c:xVal>
            <c:numRef>
              <c:f>'PWC 130 (2)'!$G$8</c:f>
              <c:numCache>
                <c:formatCode>0.0</c:formatCode>
                <c:ptCount val="1"/>
                <c:pt idx="0">
                  <c:v>55.906849315068492</c:v>
                </c:pt>
              </c:numCache>
            </c:numRef>
          </c:xVal>
          <c:yVal>
            <c:numRef>
              <c:f>'PWC 130 (2)'!$G$6</c:f>
              <c:numCache>
                <c:formatCode>0.0\ "W/kg"</c:formatCode>
                <c:ptCount val="1"/>
                <c:pt idx="0">
                  <c:v>1.3734939759036144</c:v>
                </c:pt>
              </c:numCache>
            </c:numRef>
          </c:y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528E-4078-97DB-5F74BC5A94EA}"/>
            </c:ext>
          </c:extLst>
        </c:ser>
        <c:ser>
          <c:idx val="1"/>
          <c:order val="1"/>
          <c:tx>
            <c:strRef>
              <c:f>'PWC 130 (2)'!$A$7</c:f>
              <c:strCache>
                <c:ptCount val="1"/>
                <c:pt idx="0">
                  <c:v>01.01.20</c:v>
                </c:pt>
              </c:strCache>
            </c:strRef>
          </c:tx>
          <c:spPr>
            <a:ln>
              <a:noFill/>
            </a:ln>
          </c:spPr>
          <c:marker>
            <c:spPr>
              <a:solidFill>
                <a:schemeClr val="accent2">
                  <a:lumMod val="75000"/>
                </a:schemeClr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'PWC 130 (2)'!$H$8</c:f>
              <c:numCache>
                <c:formatCode>0.0</c:formatCode>
                <c:ptCount val="1"/>
                <c:pt idx="0">
                  <c:v>56.706849315068496</c:v>
                </c:pt>
              </c:numCache>
            </c:numRef>
          </c:xVal>
          <c:yVal>
            <c:numRef>
              <c:f>'PWC 130 (2)'!$G$7</c:f>
              <c:numCache>
                <c:formatCode>0.0\ "W/kg"</c:formatCode>
                <c:ptCount val="1"/>
                <c:pt idx="0">
                  <c:v>1.875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28E-4078-97DB-5F74BC5A94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ax val="70"/>
          <c:min val="30"/>
        </c:scaling>
        <c:delete val="0"/>
        <c:axPos val="b"/>
        <c:majorGridlines>
          <c:spPr>
            <a:ln w="9525">
              <a:solidFill>
                <a:srgbClr val="7F7F7F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Jahre</a:t>
                </a:r>
              </a:p>
            </c:rich>
          </c:tx>
          <c:layout>
            <c:manualLayout>
              <c:xMode val="edge"/>
              <c:yMode val="edge"/>
              <c:x val="0.50875000000000004"/>
              <c:y val="0.90825"/>
              <c:w val="0.10575"/>
              <c:h val="7.9750000000000001E-2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525">
            <a:solidFill>
              <a:srgbClr val="BFBFBF"/>
            </a:solidFill>
          </a:ln>
        </c:spPr>
        <c:txPr>
          <a:bodyPr rot="0" vert="horz" anchor="ctr" anchorCtr="1"/>
          <a:lstStyle/>
          <a:p>
            <a:pPr>
              <a:defRPr lang="de-de" sz="1400" b="0" i="0" u="none" strike="noStrike" kern="100">
                <a:solidFill>
                  <a:srgbClr val="595959"/>
                </a:solidFill>
                <a:latin typeface="Calibri" charset="0"/>
              </a:defRPr>
            </a:pPr>
            <a:endParaRPr lang="de-DE"/>
          </a:p>
        </c:txPr>
        <c:crossAx val="11"/>
        <c:crosses val="autoZero"/>
        <c:crossBetween val="midCat"/>
        <c:majorUnit val="10"/>
      </c:valAx>
      <c:valAx>
        <c:axId val="11"/>
        <c:scaling>
          <c:orientation val="minMax"/>
          <c:max val="3"/>
        </c:scaling>
        <c:delete val="0"/>
        <c:axPos val="l"/>
        <c:majorGridlines>
          <c:spPr>
            <a:ln w="9525">
              <a:solidFill>
                <a:srgbClr val="7F7F7F"/>
              </a:solidFill>
            </a:ln>
          </c:spPr>
        </c:maj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PWC 130  (Watt / kg )</a:t>
                </a:r>
              </a:p>
            </c:rich>
          </c:tx>
          <c:layout/>
          <c:overlay val="0"/>
          <c:spPr>
            <a:noFill/>
            <a:ln w="9525">
              <a:noFill/>
            </a:ln>
          </c:spPr>
        </c:title>
        <c:numFmt formatCode="0.0" sourceLinked="0"/>
        <c:majorTickMark val="none"/>
        <c:minorTickMark val="none"/>
        <c:tickLblPos val="nextTo"/>
        <c:spPr>
          <a:ln w="9525">
            <a:solidFill>
              <a:srgbClr val="BFBFBF"/>
            </a:solidFill>
          </a:ln>
        </c:spPr>
        <c:txPr>
          <a:bodyPr rot="-5400000" vert="horz" anchor="ctr" anchorCtr="1"/>
          <a:lstStyle/>
          <a:p>
            <a:pPr>
              <a:defRPr lang="de-de" sz="1400" b="0" i="0" u="none" strike="noStrike" kern="100" baseline="0">
                <a:solidFill>
                  <a:srgbClr val="595959"/>
                </a:solidFill>
                <a:latin typeface="Calibri" charset="0"/>
              </a:defRPr>
            </a:pPr>
            <a:endParaRPr lang="de-DE"/>
          </a:p>
        </c:txPr>
        <c:crossAx val="10"/>
        <c:crosses val="autoZero"/>
        <c:crossBetween val="midCat"/>
      </c:valAx>
      <c:spPr>
        <a:blipFill>
          <a:blip xmlns:r="http://schemas.openxmlformats.org/officeDocument/2006/relationships" r:embed="rId1"/>
          <a:stretch>
            <a:fillRect/>
          </a:stretch>
        </a:blipFill>
        <a:ln w="19050">
          <a:noFill/>
        </a:ln>
      </c:spPr>
    </c:plotArea>
    <c:legend>
      <c:legendPos val="r"/>
      <c:layout>
        <c:manualLayout>
          <c:xMode val="edge"/>
          <c:yMode val="edge"/>
          <c:x val="0.81694965277777776"/>
          <c:y val="0.31443117030398265"/>
          <c:w val="0.13454340277777777"/>
          <c:h val="0.16705157592794315"/>
        </c:manualLayout>
      </c:layout>
      <c:overlay val="0"/>
      <c:txPr>
        <a:bodyPr/>
        <a:lstStyle/>
        <a:p>
          <a:pPr>
            <a:defRPr sz="1200" b="1">
              <a:latin typeface="+mn-lt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chemeClr val="tx1"/>
      </a:solidFill>
    </a:ln>
  </c:spPr>
  <c:txPr>
    <a:bodyPr rot="0" anchor="t"/>
    <a:lstStyle/>
    <a:p>
      <a:pPr>
        <a:defRPr lang="de-de" sz="1400" b="0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PWC 130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428851850371495"/>
          <c:y val="0.14569322176803259"/>
          <c:w val="0.67589279654282164"/>
          <c:h val="0.65798922350680455"/>
        </c:manualLayout>
      </c:layout>
      <c:scatterChart>
        <c:scatterStyle val="lineMarker"/>
        <c:varyColors val="0"/>
        <c:ser>
          <c:idx val="4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808080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1'!$AO$5:$AO$11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1'!$AL$5:$AL$11</c:f>
              <c:numCache>
                <c:formatCode>0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7BB-482E-B5B7-2BD61F09821B}"/>
            </c:ext>
          </c:extLst>
        </c:ser>
        <c:ser>
          <c:idx val="0"/>
          <c:order val="1"/>
          <c:tx>
            <c:strRef>
              <c:f>'PWC 130 (2)'!$A$7</c:f>
              <c:strCache>
                <c:ptCount val="1"/>
                <c:pt idx="0">
                  <c:v>01.01.20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2'!$AY$5:$AY$11</c:f>
              <c:numCache>
                <c:formatCode>General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2'!$AX$5:$AX$11</c:f>
              <c:numCache>
                <c:formatCode>0</c:formatCode>
                <c:ptCount val="7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 formatCode="General">
                  <c:v>135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7BB-482E-B5B7-2BD61F09821B}"/>
            </c:ext>
          </c:extLst>
        </c:ser>
        <c:ser>
          <c:idx val="1"/>
          <c:order val="2"/>
          <c:tx>
            <c:v>HF 130</c:v>
          </c:tx>
          <c:spPr>
            <a:ln w="2222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'Test 2'!$AY$5:$AY$11</c:f>
              <c:numCache>
                <c:formatCode>General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2'!$AZ$5:$AZ$11</c:f>
              <c:numCache>
                <c:formatCode>General</c:formatCode>
                <c:ptCount val="7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130</c:v>
                </c:pt>
                <c:pt idx="5">
                  <c:v>130</c:v>
                </c:pt>
                <c:pt idx="6">
                  <c:v>130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BB-482E-B5B7-2BD61F098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103392"/>
        <c:axId val="480108968"/>
      </c:scatterChart>
      <c:valAx>
        <c:axId val="480103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Leistung ( Watt 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out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8968"/>
        <c:crosses val="autoZero"/>
        <c:crossBetween val="midCat"/>
      </c:valAx>
      <c:valAx>
        <c:axId val="48010896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Herzfrequenz ( b / min )</a:t>
                </a:r>
              </a:p>
            </c:rich>
          </c:tx>
          <c:layout>
            <c:manualLayout>
              <c:xMode val="edge"/>
              <c:yMode val="edge"/>
              <c:x val="1.1542168674698795E-2"/>
              <c:y val="0.2284091102400283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3392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 scaled="0"/>
        </a:gradFill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75974933065595718"/>
          <c:y val="0.42428486025278678"/>
          <c:w val="0.22749966532797858"/>
          <c:h val="0.265257549946171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solidFill>
        <a:srgbClr val="808080"/>
      </a:solidFill>
      <a:round/>
    </a:ln>
    <a:effectLst/>
  </c:spPr>
  <c:txPr>
    <a:bodyPr/>
    <a:lstStyle/>
    <a:p>
      <a:pPr>
        <a:defRPr sz="1400" b="1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104774</xdr:colOff>
      <xdr:row>22</xdr:row>
      <xdr:rowOff>85726</xdr:rowOff>
    </xdr:from>
    <xdr:to>
      <xdr:col>6</xdr:col>
      <xdr:colOff>901124</xdr:colOff>
      <xdr:row>42</xdr:row>
      <xdr:rowOff>76900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24</xdr:row>
      <xdr:rowOff>104777</xdr:rowOff>
    </xdr:from>
    <xdr:to>
      <xdr:col>7</xdr:col>
      <xdr:colOff>635550</xdr:colOff>
      <xdr:row>43</xdr:row>
      <xdr:rowOff>26523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104775</xdr:colOff>
      <xdr:row>7</xdr:row>
      <xdr:rowOff>3</xdr:rowOff>
    </xdr:from>
    <xdr:to>
      <xdr:col>7</xdr:col>
      <xdr:colOff>635550</xdr:colOff>
      <xdr:row>24</xdr:row>
      <xdr:rowOff>4904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114301</xdr:colOff>
      <xdr:row>43</xdr:row>
      <xdr:rowOff>142058</xdr:rowOff>
    </xdr:from>
    <xdr:to>
      <xdr:col>6</xdr:col>
      <xdr:colOff>508176</xdr:colOff>
      <xdr:row>45</xdr:row>
      <xdr:rowOff>57150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6" y="8447858"/>
          <a:ext cx="4118150" cy="2960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64771</xdr:colOff>
      <xdr:row>8</xdr:row>
      <xdr:rowOff>22859</xdr:rowOff>
    </xdr:from>
    <xdr:to>
      <xdr:col>8</xdr:col>
      <xdr:colOff>567031</xdr:colOff>
      <xdr:row>25</xdr:row>
      <xdr:rowOff>175979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57150</xdr:colOff>
      <xdr:row>26</xdr:row>
      <xdr:rowOff>137160</xdr:rowOff>
    </xdr:from>
    <xdr:to>
      <xdr:col>8</xdr:col>
      <xdr:colOff>559410</xdr:colOff>
      <xdr:row>44</xdr:row>
      <xdr:rowOff>182022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16</xdr:row>
      <xdr:rowOff>85725</xdr:rowOff>
    </xdr:from>
    <xdr:to>
      <xdr:col>7</xdr:col>
      <xdr:colOff>876300</xdr:colOff>
      <xdr:row>43</xdr:row>
      <xdr:rowOff>92075</xdr:rowOff>
    </xdr:to>
    <xdr:graphicFrame macro="">
      <xdr:nvGraphicFramePr>
        <xdr:cNvPr id="3" name="Diagramm 6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381000</xdr:colOff>
      <xdr:row>3</xdr:row>
      <xdr:rowOff>9525</xdr:rowOff>
    </xdr:from>
    <xdr:to>
      <xdr:col>7</xdr:col>
      <xdr:colOff>857250</xdr:colOff>
      <xdr:row>9</xdr:row>
      <xdr:rowOff>142875</xdr:rowOff>
    </xdr:to>
    <xdr:sp macro="" textlink="" fLocksText="0">
      <xdr:nvSpPr>
        <xdr:cNvPr id="2" name="Textfeld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extLst>
            <a:ext uri="smNativeData">
              <pm:smNativeData xmlns="" xmlns:pm="smNativeData" val="SMDATA_11_PC5YXhMAAAAlAAAAZAAAAI0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L29vQ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DAwIj4MAAAAEAAAAAAAAAAAAAAAAAAAAAAAAAAeAAAAaAAAAAAAAAAAAAAAAAAAAAAAAAAAAAAAECcAABAnAAAAAAAAAAAAAAAAAAAAAAAAAAAAAAAAAAAAAAAAAAAAABQAAAAAAAAAwMD/AAAAAABkAAAAMgAAAAAAAABkAAAAAAAAAH9/fwAKAAAAIQAAADAAAAAsAAAAAgAAAAMAAAAAAAAABwAAAAcAAADsAs4CogwAAGACAABoFwAA5QYAAAAAAAA="/>
            </a:ext>
          </a:extLst>
        </xdr:cNvSpPr>
      </xdr:nvSpPr>
      <xdr:spPr>
        <a:xfrm>
          <a:off x="1905000" y="685800"/>
          <a:ext cx="3810000" cy="1276350"/>
        </a:xfrm>
        <a:prstGeom prst="rect">
          <a:avLst/>
        </a:prstGeom>
        <a:solidFill>
          <a:srgbClr val="FFFFFF"/>
        </a:solidFill>
        <a:ln w="9525" cap="flat">
          <a:solidFill>
            <a:srgbClr val="BDBDBD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1440" tIns="45720" rIns="91440" bIns="45720" anchor="t" upright="1"/>
        <a:lstStyle/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Die nachfolgende Kalkulation geht davon aus, dass </a:t>
          </a:r>
          <a:r>
            <a:t/>
          </a:r>
          <a:br/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13 ml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/ min / Watt Leistung verbraucht werden.</a:t>
          </a:r>
        </a:p>
        <a:p>
          <a:pPr algn="l" defTabSz="360045" rtl="0">
            <a:defRPr sz="1000"/>
          </a:pPr>
          <a:endParaRPr/>
        </a:p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1 MET = 3,5 ml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/ kg / min  = 1 kcal / kg / h</a:t>
          </a:r>
          <a:r>
            <a:t/>
          </a:r>
          <a:br/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(=3,5 * 60 * 4,8 ) =  1  kcal / kg / h   =   Grundumsatz</a:t>
          </a:r>
        </a:p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4,8 kcal / 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 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= mittleres Kalorisches Äquivalent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22</xdr:row>
      <xdr:rowOff>161924</xdr:rowOff>
    </xdr:from>
    <xdr:to>
      <xdr:col>6</xdr:col>
      <xdr:colOff>901710</xdr:colOff>
      <xdr:row>43</xdr:row>
      <xdr:rowOff>73166</xdr:rowOff>
    </xdr:to>
    <xdr:graphicFrame macro="">
      <xdr:nvGraphicFramePr>
        <xdr:cNvPr id="17" name="Diagramm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25</xdr:row>
      <xdr:rowOff>19051</xdr:rowOff>
    </xdr:from>
    <xdr:to>
      <xdr:col>7</xdr:col>
      <xdr:colOff>645075</xdr:colOff>
      <xdr:row>43</xdr:row>
      <xdr:rowOff>137043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114300</xdr:colOff>
      <xdr:row>7</xdr:row>
      <xdr:rowOff>95254</xdr:rowOff>
    </xdr:from>
    <xdr:to>
      <xdr:col>7</xdr:col>
      <xdr:colOff>645075</xdr:colOff>
      <xdr:row>24</xdr:row>
      <xdr:rowOff>105385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85726</xdr:colOff>
      <xdr:row>43</xdr:row>
      <xdr:rowOff>170633</xdr:rowOff>
    </xdr:from>
    <xdr:to>
      <xdr:col>6</xdr:col>
      <xdr:colOff>479601</xdr:colOff>
      <xdr:row>45</xdr:row>
      <xdr:rowOff>85725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1" y="8476433"/>
          <a:ext cx="4118150" cy="29609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142876</xdr:colOff>
      <xdr:row>9</xdr:row>
      <xdr:rowOff>190499</xdr:rowOff>
    </xdr:from>
    <xdr:to>
      <xdr:col>8</xdr:col>
      <xdr:colOff>498676</xdr:colOff>
      <xdr:row>27</xdr:row>
      <xdr:rowOff>145499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123826</xdr:colOff>
      <xdr:row>28</xdr:row>
      <xdr:rowOff>9525</xdr:rowOff>
    </xdr:from>
    <xdr:to>
      <xdr:col>8</xdr:col>
      <xdr:colOff>480921</xdr:colOff>
      <xdr:row>45</xdr:row>
      <xdr:rowOff>155025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16</xdr:row>
      <xdr:rowOff>85725</xdr:rowOff>
    </xdr:from>
    <xdr:to>
      <xdr:col>7</xdr:col>
      <xdr:colOff>876300</xdr:colOff>
      <xdr:row>43</xdr:row>
      <xdr:rowOff>92075</xdr:rowOff>
    </xdr:to>
    <xdr:graphicFrame macro="">
      <xdr:nvGraphicFramePr>
        <xdr:cNvPr id="2" name="Diagramm 6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381000</xdr:colOff>
      <xdr:row>3</xdr:row>
      <xdr:rowOff>9525</xdr:rowOff>
    </xdr:from>
    <xdr:to>
      <xdr:col>7</xdr:col>
      <xdr:colOff>857250</xdr:colOff>
      <xdr:row>9</xdr:row>
      <xdr:rowOff>142875</xdr:rowOff>
    </xdr:to>
    <xdr:sp macro="" textlink="" fLocksText="0">
      <xdr:nvSpPr>
        <xdr:cNvPr id="3" name="Textfeld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extLst>
            <a:ext uri="smNativeData">
              <pm:smNativeData xmlns="" xmlns:pm="smNativeData" val="SMDATA_11_PC5YXhMAAAAlAAAAZAAAAI0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L29vQ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DAwIj4MAAAAEAAAAAAAAAAAAAAAAAAAAAAAAAAeAAAAaAAAAAAAAAAAAAAAAAAAAAAAAAAAAAAAECcAABAnAAAAAAAAAAAAAAAAAAAAAAAAAAAAAAAAAAAAAAAAAAAAABQAAAAAAAAAwMD/AAAAAABkAAAAMgAAAAAAAABkAAAAAAAAAH9/fwAKAAAAIQAAADAAAAAsAAAAAgAAAAMAAAAAAAAABwAAAAcAAADsAs4CogwAAGACAABoFwAA5QYAAAAAAAA="/>
            </a:ext>
          </a:extLst>
        </xdr:cNvSpPr>
      </xdr:nvSpPr>
      <xdr:spPr>
        <a:xfrm>
          <a:off x="1924050" y="828675"/>
          <a:ext cx="4105275" cy="1276350"/>
        </a:xfrm>
        <a:prstGeom prst="rect">
          <a:avLst/>
        </a:prstGeom>
        <a:solidFill>
          <a:srgbClr val="FFFFFF"/>
        </a:solidFill>
        <a:ln w="9525" cap="flat">
          <a:solidFill>
            <a:srgbClr val="BDBDBD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1440" tIns="45720" rIns="91440" bIns="45720" anchor="t" upright="1"/>
        <a:lstStyle/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Die nachfolgende Kalkulation geht davon aus, dass </a:t>
          </a:r>
          <a:r>
            <a:t/>
          </a:r>
          <a:br/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13 ml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/ min / Watt Leistung verbraucht werden.</a:t>
          </a:r>
        </a:p>
        <a:p>
          <a:pPr algn="l" defTabSz="360045" rtl="0">
            <a:defRPr sz="1000"/>
          </a:pPr>
          <a:endParaRPr/>
        </a:p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1 MET = 3,5 ml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/ kg / min  = 1 kcal / kg / h</a:t>
          </a:r>
          <a:r>
            <a:t/>
          </a:r>
          <a:br/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(=3,5 * 60 * 4,8 ) =  1  kcal / kg / h   =   Grundumsatz</a:t>
          </a:r>
        </a:p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4,8 kcal / 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 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= mittleres Kalorisches Äquivalent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7"/>
  <sheetViews>
    <sheetView tabSelected="1" view="pageLayout" zoomScaleNormal="85" workbookViewId="0">
      <selection activeCell="E2" sqref="E2"/>
    </sheetView>
  </sheetViews>
  <sheetFormatPr baseColWidth="10" defaultRowHeight="15" x14ac:dyDescent="0.25"/>
  <cols>
    <col min="1" max="1" width="11.42578125" style="10"/>
    <col min="2" max="2" width="14" bestFit="1" customWidth="1"/>
    <col min="3" max="3" width="17.42578125" style="2" customWidth="1"/>
    <col min="5" max="5" width="18.140625" customWidth="1"/>
  </cols>
  <sheetData>
    <row r="1" spans="1:5" s="10" customFormat="1" x14ac:dyDescent="0.25">
      <c r="A1" s="159"/>
      <c r="B1" s="145"/>
      <c r="C1" s="160" t="s">
        <v>60</v>
      </c>
      <c r="D1" s="145"/>
      <c r="E1" s="161" t="s">
        <v>61</v>
      </c>
    </row>
    <row r="2" spans="1:5" x14ac:dyDescent="0.25">
      <c r="A2" s="162"/>
      <c r="B2" s="63" t="s">
        <v>1</v>
      </c>
      <c r="C2" s="163">
        <v>43539</v>
      </c>
      <c r="D2" s="63"/>
      <c r="E2" s="164">
        <v>43831</v>
      </c>
    </row>
    <row r="3" spans="1:5" x14ac:dyDescent="0.25">
      <c r="A3" s="162"/>
      <c r="B3" s="63" t="s">
        <v>0</v>
      </c>
      <c r="C3" s="165" t="s">
        <v>0</v>
      </c>
      <c r="D3" s="63"/>
      <c r="E3" s="166" t="str">
        <f>C3</f>
        <v>Name</v>
      </c>
    </row>
    <row r="4" spans="1:5" x14ac:dyDescent="0.25">
      <c r="A4" s="162"/>
      <c r="B4" s="63" t="s">
        <v>2</v>
      </c>
      <c r="C4" s="165" t="s">
        <v>2</v>
      </c>
      <c r="D4" s="63"/>
      <c r="E4" s="166" t="str">
        <f t="shared" ref="E4:E8" si="0">C4</f>
        <v>Vorname</v>
      </c>
    </row>
    <row r="5" spans="1:5" x14ac:dyDescent="0.25">
      <c r="A5" s="162"/>
      <c r="B5" s="63" t="s">
        <v>5</v>
      </c>
      <c r="C5" s="167" t="s">
        <v>62</v>
      </c>
      <c r="D5" s="82"/>
      <c r="E5" s="166" t="str">
        <f t="shared" si="0"/>
        <v>w</v>
      </c>
    </row>
    <row r="6" spans="1:5" x14ac:dyDescent="0.25">
      <c r="A6" s="162"/>
      <c r="B6" s="63" t="s">
        <v>49</v>
      </c>
      <c r="C6" s="163">
        <v>23133</v>
      </c>
      <c r="D6" s="63"/>
      <c r="E6" s="168">
        <f t="shared" si="0"/>
        <v>23133</v>
      </c>
    </row>
    <row r="7" spans="1:5" x14ac:dyDescent="0.25">
      <c r="A7" s="162"/>
      <c r="B7" s="63" t="s">
        <v>45</v>
      </c>
      <c r="C7" s="165"/>
      <c r="D7" s="63"/>
      <c r="E7" s="169"/>
    </row>
    <row r="8" spans="1:5" x14ac:dyDescent="0.25">
      <c r="A8" s="162"/>
      <c r="B8" s="63" t="s">
        <v>48</v>
      </c>
      <c r="C8" s="170">
        <v>157</v>
      </c>
      <c r="D8" s="63"/>
      <c r="E8" s="171">
        <f t="shared" si="0"/>
        <v>157</v>
      </c>
    </row>
    <row r="9" spans="1:5" x14ac:dyDescent="0.25">
      <c r="A9" s="162"/>
      <c r="B9" s="63" t="s">
        <v>7</v>
      </c>
      <c r="C9" s="172">
        <v>83</v>
      </c>
      <c r="D9" s="63"/>
      <c r="E9" s="173">
        <v>80</v>
      </c>
    </row>
    <row r="10" spans="1:5" x14ac:dyDescent="0.25">
      <c r="A10" s="162"/>
      <c r="B10" s="63" t="s">
        <v>3</v>
      </c>
      <c r="C10" s="165"/>
      <c r="D10" s="63"/>
      <c r="E10" s="169"/>
    </row>
    <row r="11" spans="1:5" x14ac:dyDescent="0.25">
      <c r="A11" s="162"/>
      <c r="B11" s="63" t="s">
        <v>50</v>
      </c>
      <c r="C11" s="174">
        <v>0</v>
      </c>
      <c r="D11" s="63"/>
      <c r="E11" s="175">
        <f>C11</f>
        <v>0</v>
      </c>
    </row>
    <row r="12" spans="1:5" x14ac:dyDescent="0.25">
      <c r="A12" s="162"/>
      <c r="B12" s="63" t="s">
        <v>10</v>
      </c>
      <c r="C12" s="174">
        <v>40</v>
      </c>
      <c r="D12" s="63"/>
      <c r="E12" s="175">
        <f>C12</f>
        <v>40</v>
      </c>
    </row>
    <row r="13" spans="1:5" ht="15.75" thickBot="1" x14ac:dyDescent="0.3">
      <c r="A13" s="176"/>
      <c r="B13" s="22" t="s">
        <v>51</v>
      </c>
      <c r="C13" s="30">
        <v>0.125</v>
      </c>
      <c r="D13" s="22"/>
      <c r="E13" s="177">
        <f>C13</f>
        <v>0.125</v>
      </c>
    </row>
    <row r="14" spans="1:5" ht="15" customHeight="1" x14ac:dyDescent="0.25">
      <c r="A14" s="182" t="s">
        <v>76</v>
      </c>
      <c r="B14" s="23" t="s">
        <v>83</v>
      </c>
      <c r="C14" s="158">
        <f>C13</f>
        <v>0.125</v>
      </c>
      <c r="D14" s="63"/>
      <c r="E14" s="157">
        <f>E13</f>
        <v>0.125</v>
      </c>
    </row>
    <row r="15" spans="1:5" x14ac:dyDescent="0.25">
      <c r="A15" s="182"/>
      <c r="B15" s="23" t="s">
        <v>29</v>
      </c>
      <c r="C15" s="147">
        <f>C11</f>
        <v>0</v>
      </c>
      <c r="D15" s="63"/>
      <c r="E15" s="148">
        <f>E11</f>
        <v>0</v>
      </c>
    </row>
    <row r="16" spans="1:5" x14ac:dyDescent="0.25">
      <c r="A16" s="182"/>
      <c r="B16" s="23" t="s">
        <v>84</v>
      </c>
      <c r="C16" s="28">
        <v>120</v>
      </c>
      <c r="D16" s="63"/>
      <c r="E16" s="149">
        <v>120</v>
      </c>
    </row>
    <row r="17" spans="1:5" x14ac:dyDescent="0.25">
      <c r="A17" s="182"/>
      <c r="B17" s="23" t="s">
        <v>85</v>
      </c>
      <c r="C17" s="28">
        <v>70</v>
      </c>
      <c r="D17" s="63"/>
      <c r="E17" s="149">
        <v>80</v>
      </c>
    </row>
    <row r="18" spans="1:5" x14ac:dyDescent="0.25">
      <c r="A18" s="182"/>
      <c r="B18" s="23" t="s">
        <v>86</v>
      </c>
      <c r="C18" s="29">
        <v>76</v>
      </c>
      <c r="D18" s="63"/>
      <c r="E18" s="150">
        <v>70</v>
      </c>
    </row>
    <row r="19" spans="1:5" ht="15.75" customHeight="1" thickBot="1" x14ac:dyDescent="0.3">
      <c r="A19" s="183"/>
      <c r="B19" s="24" t="s">
        <v>87</v>
      </c>
      <c r="C19" s="151">
        <v>1.4</v>
      </c>
      <c r="D19" s="22"/>
      <c r="E19" s="152">
        <v>1.3</v>
      </c>
    </row>
    <row r="20" spans="1:5" x14ac:dyDescent="0.25">
      <c r="A20" s="181" t="s">
        <v>77</v>
      </c>
      <c r="B20" s="143" t="s">
        <v>83</v>
      </c>
      <c r="C20" s="144">
        <f>C14+$C$13</f>
        <v>0.25</v>
      </c>
      <c r="D20" s="145"/>
      <c r="E20" s="146">
        <f>IF($E$13="","00:00",E14+$E$13)</f>
        <v>0.25</v>
      </c>
    </row>
    <row r="21" spans="1:5" x14ac:dyDescent="0.25">
      <c r="A21" s="182"/>
      <c r="B21" s="23" t="s">
        <v>29</v>
      </c>
      <c r="C21" s="147">
        <f>C15+$C$12</f>
        <v>40</v>
      </c>
      <c r="D21" s="63"/>
      <c r="E21" s="148">
        <f>E15+$E$12</f>
        <v>40</v>
      </c>
    </row>
    <row r="22" spans="1:5" x14ac:dyDescent="0.25">
      <c r="A22" s="182"/>
      <c r="B22" s="23" t="s">
        <v>84</v>
      </c>
      <c r="C22" s="28">
        <v>130</v>
      </c>
      <c r="D22" s="63"/>
      <c r="E22" s="149">
        <v>130</v>
      </c>
    </row>
    <row r="23" spans="1:5" x14ac:dyDescent="0.25">
      <c r="A23" s="182"/>
      <c r="B23" s="23" t="s">
        <v>85</v>
      </c>
      <c r="C23" s="28">
        <v>75</v>
      </c>
      <c r="D23" s="63"/>
      <c r="E23" s="149">
        <v>80</v>
      </c>
    </row>
    <row r="24" spans="1:5" ht="15" customHeight="1" x14ac:dyDescent="0.25">
      <c r="A24" s="182"/>
      <c r="B24" s="23" t="s">
        <v>86</v>
      </c>
      <c r="C24" s="29">
        <v>88</v>
      </c>
      <c r="D24" s="63"/>
      <c r="E24" s="150">
        <v>84</v>
      </c>
    </row>
    <row r="25" spans="1:5" ht="15.75" thickBot="1" x14ac:dyDescent="0.3">
      <c r="A25" s="183"/>
      <c r="B25" s="24" t="s">
        <v>87</v>
      </c>
      <c r="C25" s="151">
        <v>1.7</v>
      </c>
      <c r="D25" s="22"/>
      <c r="E25" s="152">
        <v>1.3</v>
      </c>
    </row>
    <row r="26" spans="1:5" ht="15" customHeight="1" x14ac:dyDescent="0.25">
      <c r="A26" s="181" t="s">
        <v>78</v>
      </c>
      <c r="B26" s="143" t="s">
        <v>83</v>
      </c>
      <c r="C26" s="144">
        <f>C20+$C$13</f>
        <v>0.375</v>
      </c>
      <c r="D26" s="145"/>
      <c r="E26" s="146">
        <f>IF($E$13="","00:00",E20+$E$13)</f>
        <v>0.375</v>
      </c>
    </row>
    <row r="27" spans="1:5" x14ac:dyDescent="0.25">
      <c r="A27" s="182"/>
      <c r="B27" s="23" t="s">
        <v>29</v>
      </c>
      <c r="C27" s="147">
        <f>C21+$C$12</f>
        <v>80</v>
      </c>
      <c r="D27" s="63"/>
      <c r="E27" s="148">
        <f>E21+$E$12</f>
        <v>80</v>
      </c>
    </row>
    <row r="28" spans="1:5" x14ac:dyDescent="0.25">
      <c r="A28" s="182"/>
      <c r="B28" s="23" t="s">
        <v>84</v>
      </c>
      <c r="C28" s="28">
        <v>145</v>
      </c>
      <c r="D28" s="63"/>
      <c r="E28" s="149">
        <v>140</v>
      </c>
    </row>
    <row r="29" spans="1:5" ht="15" customHeight="1" x14ac:dyDescent="0.25">
      <c r="A29" s="182"/>
      <c r="B29" s="23" t="s">
        <v>85</v>
      </c>
      <c r="C29" s="28">
        <v>70</v>
      </c>
      <c r="D29" s="63"/>
      <c r="E29" s="149">
        <v>80</v>
      </c>
    </row>
    <row r="30" spans="1:5" x14ac:dyDescent="0.25">
      <c r="A30" s="182"/>
      <c r="B30" s="23" t="s">
        <v>86</v>
      </c>
      <c r="C30" s="29">
        <v>110</v>
      </c>
      <c r="D30" s="63"/>
      <c r="E30" s="150">
        <v>97</v>
      </c>
    </row>
    <row r="31" spans="1:5" ht="15.75" thickBot="1" x14ac:dyDescent="0.3">
      <c r="A31" s="183"/>
      <c r="B31" s="24" t="s">
        <v>87</v>
      </c>
      <c r="C31" s="151">
        <v>2.7</v>
      </c>
      <c r="D31" s="22"/>
      <c r="E31" s="152">
        <v>1.9</v>
      </c>
    </row>
    <row r="32" spans="1:5" ht="15" customHeight="1" x14ac:dyDescent="0.25">
      <c r="A32" s="181" t="s">
        <v>79</v>
      </c>
      <c r="B32" s="143" t="s">
        <v>83</v>
      </c>
      <c r="C32" s="144">
        <f>C26+$C$13</f>
        <v>0.5</v>
      </c>
      <c r="D32" s="145"/>
      <c r="E32" s="146">
        <f>IF($E$13="","00:00",E26+$E$13)</f>
        <v>0.5</v>
      </c>
    </row>
    <row r="33" spans="1:5" x14ac:dyDescent="0.25">
      <c r="A33" s="182"/>
      <c r="B33" s="23" t="s">
        <v>29</v>
      </c>
      <c r="C33" s="147">
        <f>C27+$C$12</f>
        <v>120</v>
      </c>
      <c r="D33" s="63"/>
      <c r="E33" s="148">
        <f>E27+$E$12</f>
        <v>120</v>
      </c>
    </row>
    <row r="34" spans="1:5" ht="15" customHeight="1" x14ac:dyDescent="0.25">
      <c r="A34" s="182"/>
      <c r="B34" s="23" t="s">
        <v>84</v>
      </c>
      <c r="C34" s="28">
        <v>160</v>
      </c>
      <c r="D34" s="63"/>
      <c r="E34" s="149">
        <v>160</v>
      </c>
    </row>
    <row r="35" spans="1:5" x14ac:dyDescent="0.25">
      <c r="A35" s="182"/>
      <c r="B35" s="23" t="s">
        <v>85</v>
      </c>
      <c r="C35" s="28">
        <v>75</v>
      </c>
      <c r="D35" s="63"/>
      <c r="E35" s="149">
        <v>85</v>
      </c>
    </row>
    <row r="36" spans="1:5" x14ac:dyDescent="0.25">
      <c r="A36" s="182"/>
      <c r="B36" s="23" t="s">
        <v>86</v>
      </c>
      <c r="C36" s="29">
        <v>132</v>
      </c>
      <c r="D36" s="63"/>
      <c r="E36" s="150">
        <v>113</v>
      </c>
    </row>
    <row r="37" spans="1:5" ht="15.75" thickBot="1" x14ac:dyDescent="0.3">
      <c r="A37" s="183"/>
      <c r="B37" s="24" t="s">
        <v>87</v>
      </c>
      <c r="C37" s="151">
        <v>4.2</v>
      </c>
      <c r="D37" s="22"/>
      <c r="E37" s="152">
        <v>2.6</v>
      </c>
    </row>
    <row r="38" spans="1:5" ht="15" customHeight="1" x14ac:dyDescent="0.25">
      <c r="A38" s="181" t="s">
        <v>80</v>
      </c>
      <c r="B38" s="143" t="s">
        <v>83</v>
      </c>
      <c r="C38" s="144">
        <f>C32+$C$13</f>
        <v>0.625</v>
      </c>
      <c r="D38" s="145"/>
      <c r="E38" s="146">
        <f>IF($E$13="","00:00",E32+$E$13)</f>
        <v>0.625</v>
      </c>
    </row>
    <row r="39" spans="1:5" ht="15" customHeight="1" x14ac:dyDescent="0.25">
      <c r="A39" s="182"/>
      <c r="B39" s="23" t="s">
        <v>29</v>
      </c>
      <c r="C39" s="147">
        <f>C33+$C$12</f>
        <v>160</v>
      </c>
      <c r="D39" s="63"/>
      <c r="E39" s="148">
        <f>E33+$E$12</f>
        <v>160</v>
      </c>
    </row>
    <row r="40" spans="1:5" x14ac:dyDescent="0.25">
      <c r="A40" s="182"/>
      <c r="B40" s="23" t="s">
        <v>84</v>
      </c>
      <c r="C40" s="31"/>
      <c r="D40" s="63"/>
      <c r="E40" s="154">
        <v>180</v>
      </c>
    </row>
    <row r="41" spans="1:5" x14ac:dyDescent="0.25">
      <c r="A41" s="182"/>
      <c r="B41" s="23" t="s">
        <v>85</v>
      </c>
      <c r="C41" s="31"/>
      <c r="D41" s="63"/>
      <c r="E41" s="154">
        <v>90</v>
      </c>
    </row>
    <row r="42" spans="1:5" x14ac:dyDescent="0.25">
      <c r="A42" s="182"/>
      <c r="B42" s="23" t="s">
        <v>86</v>
      </c>
      <c r="C42" s="32"/>
      <c r="D42" s="63"/>
      <c r="E42" s="155">
        <v>135</v>
      </c>
    </row>
    <row r="43" spans="1:5" ht="15.75" thickBot="1" x14ac:dyDescent="0.3">
      <c r="A43" s="183"/>
      <c r="B43" s="24" t="s">
        <v>87</v>
      </c>
      <c r="C43" s="153"/>
      <c r="D43" s="22"/>
      <c r="E43" s="156">
        <v>4.2</v>
      </c>
    </row>
    <row r="44" spans="1:5" ht="15" customHeight="1" x14ac:dyDescent="0.25">
      <c r="A44" s="181" t="s">
        <v>81</v>
      </c>
      <c r="B44" s="143" t="s">
        <v>83</v>
      </c>
      <c r="C44" s="144">
        <f>C38+$C$13</f>
        <v>0.75</v>
      </c>
      <c r="D44" s="145"/>
      <c r="E44" s="146">
        <f>IF($E$13="","00:00",E38+$E$13)</f>
        <v>0.75</v>
      </c>
    </row>
    <row r="45" spans="1:5" x14ac:dyDescent="0.25">
      <c r="A45" s="182"/>
      <c r="B45" s="23" t="s">
        <v>29</v>
      </c>
      <c r="C45" s="147">
        <f>C39+$C$12</f>
        <v>200</v>
      </c>
      <c r="D45" s="63"/>
      <c r="E45" s="148">
        <f>E39+$E$12</f>
        <v>200</v>
      </c>
    </row>
    <row r="46" spans="1:5" x14ac:dyDescent="0.25">
      <c r="A46" s="182"/>
      <c r="B46" s="23" t="s">
        <v>84</v>
      </c>
      <c r="C46" s="31"/>
      <c r="D46" s="63"/>
      <c r="E46" s="154"/>
    </row>
    <row r="47" spans="1:5" x14ac:dyDescent="0.25">
      <c r="A47" s="182"/>
      <c r="B47" s="23" t="s">
        <v>85</v>
      </c>
      <c r="C47" s="31"/>
      <c r="D47" s="63"/>
      <c r="E47" s="154"/>
    </row>
    <row r="48" spans="1:5" x14ac:dyDescent="0.25">
      <c r="A48" s="182"/>
      <c r="B48" s="23" t="s">
        <v>86</v>
      </c>
      <c r="C48" s="32"/>
      <c r="D48" s="63"/>
      <c r="E48" s="155"/>
    </row>
    <row r="49" spans="1:5" ht="15.75" customHeight="1" thickBot="1" x14ac:dyDescent="0.3">
      <c r="A49" s="183"/>
      <c r="B49" s="24" t="s">
        <v>87</v>
      </c>
      <c r="C49" s="153"/>
      <c r="D49" s="22"/>
      <c r="E49" s="156"/>
    </row>
    <row r="50" spans="1:5" ht="15" customHeight="1" x14ac:dyDescent="0.25">
      <c r="A50" s="181" t="s">
        <v>82</v>
      </c>
      <c r="B50" s="143" t="s">
        <v>83</v>
      </c>
      <c r="C50" s="144">
        <f>C44+$C$13</f>
        <v>0.875</v>
      </c>
      <c r="D50" s="145"/>
      <c r="E50" s="146">
        <f>IF($E$13="","00:00",E44+$E$13)</f>
        <v>0.875</v>
      </c>
    </row>
    <row r="51" spans="1:5" x14ac:dyDescent="0.25">
      <c r="A51" s="182"/>
      <c r="B51" s="23" t="s">
        <v>29</v>
      </c>
      <c r="C51" s="147">
        <f>C45+$C$12</f>
        <v>240</v>
      </c>
      <c r="D51" s="63"/>
      <c r="E51" s="148">
        <f>E45+$C$12</f>
        <v>240</v>
      </c>
    </row>
    <row r="52" spans="1:5" x14ac:dyDescent="0.25">
      <c r="A52" s="182"/>
      <c r="B52" s="23" t="s">
        <v>84</v>
      </c>
      <c r="C52" s="31"/>
      <c r="D52" s="63"/>
      <c r="E52" s="154"/>
    </row>
    <row r="53" spans="1:5" x14ac:dyDescent="0.25">
      <c r="A53" s="182"/>
      <c r="B53" s="23" t="s">
        <v>85</v>
      </c>
      <c r="C53" s="31"/>
      <c r="D53" s="63"/>
      <c r="E53" s="154"/>
    </row>
    <row r="54" spans="1:5" ht="15" customHeight="1" x14ac:dyDescent="0.25">
      <c r="A54" s="182"/>
      <c r="B54" s="23" t="s">
        <v>86</v>
      </c>
      <c r="C54" s="32"/>
      <c r="D54" s="63"/>
      <c r="E54" s="155"/>
    </row>
    <row r="55" spans="1:5" ht="15.75" thickBot="1" x14ac:dyDescent="0.3">
      <c r="A55" s="183"/>
      <c r="B55" s="24" t="s">
        <v>87</v>
      </c>
      <c r="C55" s="153"/>
      <c r="D55" s="22"/>
      <c r="E55" s="156"/>
    </row>
    <row r="56" spans="1:5" ht="15" customHeight="1" x14ac:dyDescent="0.25">
      <c r="A56" s="181" t="s">
        <v>88</v>
      </c>
      <c r="B56" s="143" t="s">
        <v>83</v>
      </c>
      <c r="C56" s="144">
        <f>C13</f>
        <v>0.125</v>
      </c>
      <c r="D56" s="145"/>
      <c r="E56" s="146">
        <f>E13</f>
        <v>0.125</v>
      </c>
    </row>
    <row r="57" spans="1:5" x14ac:dyDescent="0.25">
      <c r="A57" s="182"/>
      <c r="B57" s="23" t="s">
        <v>29</v>
      </c>
      <c r="C57" s="147">
        <v>0</v>
      </c>
      <c r="D57" s="63"/>
      <c r="E57" s="148">
        <v>0</v>
      </c>
    </row>
    <row r="58" spans="1:5" x14ac:dyDescent="0.25">
      <c r="A58" s="182"/>
      <c r="B58" s="23" t="s">
        <v>84</v>
      </c>
      <c r="C58" s="31">
        <v>130</v>
      </c>
      <c r="D58" s="63"/>
      <c r="E58" s="154">
        <v>140</v>
      </c>
    </row>
    <row r="59" spans="1:5" x14ac:dyDescent="0.25">
      <c r="A59" s="182"/>
      <c r="B59" s="23" t="s">
        <v>85</v>
      </c>
      <c r="C59" s="31">
        <v>75</v>
      </c>
      <c r="D59" s="63"/>
      <c r="E59" s="154">
        <v>80</v>
      </c>
    </row>
    <row r="60" spans="1:5" x14ac:dyDescent="0.25">
      <c r="A60" s="182"/>
      <c r="B60" s="23" t="s">
        <v>86</v>
      </c>
      <c r="C60" s="32">
        <v>124</v>
      </c>
      <c r="D60" s="63"/>
      <c r="E60" s="155">
        <v>120</v>
      </c>
    </row>
    <row r="61" spans="1:5" ht="15.75" thickBot="1" x14ac:dyDescent="0.3">
      <c r="A61" s="183"/>
      <c r="B61" s="24" t="s">
        <v>87</v>
      </c>
      <c r="C61" s="153"/>
      <c r="D61" s="22"/>
      <c r="E61" s="156"/>
    </row>
    <row r="62" spans="1:5" ht="15" customHeight="1" x14ac:dyDescent="0.25">
      <c r="A62" s="181" t="s">
        <v>89</v>
      </c>
      <c r="B62" s="143" t="s">
        <v>83</v>
      </c>
      <c r="C62" s="144">
        <f>C56+C13</f>
        <v>0.25</v>
      </c>
      <c r="D62" s="145"/>
      <c r="E62" s="146">
        <f>E56+E13</f>
        <v>0.25</v>
      </c>
    </row>
    <row r="63" spans="1:5" x14ac:dyDescent="0.25">
      <c r="A63" s="182"/>
      <c r="B63" s="23" t="s">
        <v>29</v>
      </c>
      <c r="C63" s="147">
        <v>0</v>
      </c>
      <c r="D63" s="63"/>
      <c r="E63" s="148">
        <v>0</v>
      </c>
    </row>
    <row r="64" spans="1:5" x14ac:dyDescent="0.25">
      <c r="A64" s="182"/>
      <c r="B64" s="23" t="s">
        <v>84</v>
      </c>
      <c r="C64" s="31">
        <v>120</v>
      </c>
      <c r="D64" s="63"/>
      <c r="E64" s="154">
        <v>120</v>
      </c>
    </row>
    <row r="65" spans="1:5" x14ac:dyDescent="0.25">
      <c r="A65" s="182"/>
      <c r="B65" s="23" t="s">
        <v>85</v>
      </c>
      <c r="C65" s="31">
        <v>70</v>
      </c>
      <c r="D65" s="63"/>
      <c r="E65" s="154">
        <v>70</v>
      </c>
    </row>
    <row r="66" spans="1:5" x14ac:dyDescent="0.25">
      <c r="A66" s="182"/>
      <c r="B66" s="23" t="s">
        <v>86</v>
      </c>
      <c r="C66" s="32">
        <v>100</v>
      </c>
      <c r="D66" s="63"/>
      <c r="E66" s="155">
        <v>90</v>
      </c>
    </row>
    <row r="67" spans="1:5" ht="15.75" thickBot="1" x14ac:dyDescent="0.3">
      <c r="A67" s="183"/>
      <c r="B67" s="24" t="s">
        <v>87</v>
      </c>
      <c r="C67" s="153"/>
      <c r="D67" s="22"/>
      <c r="E67" s="156"/>
    </row>
  </sheetData>
  <sheetProtection algorithmName="SHA-512" hashValue="a0OVmTh0M+dMVUatJ3EyxMaqz4rNYwhth3EjlXO1O/bBRbEkRaufUBXyfbSEquuhMkxlZuQMvqjG9urzfU4gOg==" saltValue="w383a6jv3GaWJ7RzUkY8mQ==" spinCount="100000" sheet="1" objects="1" scenarios="1" selectLockedCells="1"/>
  <mergeCells count="9">
    <mergeCell ref="A56:A61"/>
    <mergeCell ref="A62:A67"/>
    <mergeCell ref="A14:A19"/>
    <mergeCell ref="A20:A25"/>
    <mergeCell ref="A26:A31"/>
    <mergeCell ref="A32:A37"/>
    <mergeCell ref="A38:A43"/>
    <mergeCell ref="A44:A49"/>
    <mergeCell ref="A50:A55"/>
  </mergeCells>
  <pageMargins left="0.7" right="0.7" top="0.78740157499999996" bottom="0.78740157499999996" header="0.3" footer="0.3"/>
  <pageSetup paperSize="9" orientation="portrait" horizontalDpi="360" verticalDpi="360" r:id="rId1"/>
  <rowBreaks count="1" manualBreakCount="1">
    <brk id="4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22"/>
  <sheetViews>
    <sheetView view="pageLayout" topLeftCell="A2" zoomScaleNormal="100" workbookViewId="0">
      <selection activeCell="G58" sqref="G58"/>
    </sheetView>
  </sheetViews>
  <sheetFormatPr baseColWidth="10" defaultColWidth="11.28515625" defaultRowHeight="15" x14ac:dyDescent="0.25"/>
  <cols>
    <col min="1" max="5" width="13.5703125" style="34" customWidth="1"/>
    <col min="6" max="6" width="0.140625" style="34" customWidth="1"/>
    <col min="7" max="28" width="14.28515625" style="34" customWidth="1"/>
    <col min="29" max="29" width="11.5703125" style="34" customWidth="1"/>
    <col min="30" max="30" width="12.7109375" style="53" customWidth="1"/>
    <col min="31" max="34" width="12.7109375" style="65" customWidth="1"/>
    <col min="35" max="35" width="11.28515625" style="65"/>
    <col min="36" max="36" width="13.5703125" style="65" customWidth="1"/>
    <col min="37" max="37" width="5" style="65" customWidth="1"/>
    <col min="38" max="44" width="13.7109375" style="65" customWidth="1"/>
    <col min="45" max="46" width="15.7109375" style="65" customWidth="1"/>
    <col min="47" max="47" width="8" style="65" customWidth="1"/>
    <col min="48" max="48" width="11.28515625" style="65"/>
    <col min="49" max="49" width="12.7109375" style="65" bestFit="1" customWidth="1"/>
    <col min="50" max="50" width="11.28515625" style="65"/>
    <col min="51" max="52" width="11.28515625" style="53"/>
    <col min="53" max="54" width="12" style="53" bestFit="1" customWidth="1"/>
    <col min="55" max="58" width="11.28515625" style="53"/>
    <col min="59" max="59" width="12" style="53" bestFit="1" customWidth="1"/>
    <col min="60" max="60" width="12.7109375" style="53" bestFit="1" customWidth="1"/>
    <col min="61" max="63" width="11.5703125" style="53" bestFit="1" customWidth="1"/>
    <col min="64" max="70" width="11.28515625" style="53"/>
    <col min="71" max="73" width="11.28515625" style="65"/>
    <col min="74" max="16384" width="11.28515625" style="34"/>
  </cols>
  <sheetData>
    <row r="1" spans="1:67" ht="33.75" customHeight="1" x14ac:dyDescent="0.25">
      <c r="A1" s="184" t="s">
        <v>71</v>
      </c>
      <c r="B1" s="184"/>
    </row>
    <row r="2" spans="1:67" ht="13.5" customHeight="1" x14ac:dyDescent="0.25">
      <c r="AL2" s="65" t="s">
        <v>67</v>
      </c>
      <c r="AM2" s="65" t="s">
        <v>68</v>
      </c>
    </row>
    <row r="3" spans="1:67" x14ac:dyDescent="0.25">
      <c r="A3" s="35" t="s">
        <v>0</v>
      </c>
      <c r="B3" s="76" t="str">
        <f>IF(Start!C3="","",Start!C3)</f>
        <v>Name</v>
      </c>
      <c r="E3" s="34" t="s">
        <v>1</v>
      </c>
      <c r="G3" s="60">
        <f>IF(Start!C2="","",Start!C2)</f>
        <v>43539</v>
      </c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D3" s="93"/>
      <c r="AG3" s="83"/>
      <c r="AH3" s="83"/>
      <c r="AJ3" s="131"/>
      <c r="AL3" s="65" t="s">
        <v>43</v>
      </c>
      <c r="AN3" s="129"/>
      <c r="AT3" s="132"/>
      <c r="AU3" s="65" t="s">
        <v>66</v>
      </c>
      <c r="BF3" s="53" t="s">
        <v>70</v>
      </c>
    </row>
    <row r="4" spans="1:67" ht="17.25" x14ac:dyDescent="0.25">
      <c r="A4" s="35" t="s">
        <v>2</v>
      </c>
      <c r="B4" s="76" t="str">
        <f>IF(Start!C4="","",Start!C4)</f>
        <v>Vorname</v>
      </c>
      <c r="E4" s="34" t="s">
        <v>3</v>
      </c>
      <c r="G4" s="72" t="str">
        <f>IF(Start!C10="","",Start!C10)</f>
        <v/>
      </c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D4" s="95"/>
      <c r="AG4" s="84"/>
      <c r="AH4" s="84"/>
      <c r="AJ4" s="131"/>
      <c r="AL4" s="65" t="s">
        <v>33</v>
      </c>
      <c r="AM4" s="65" t="s">
        <v>29</v>
      </c>
      <c r="AO4" s="65" t="s">
        <v>44</v>
      </c>
      <c r="AP4" s="65" t="s">
        <v>28</v>
      </c>
      <c r="AQ4" s="65" t="s">
        <v>35</v>
      </c>
      <c r="AR4" s="65" t="s">
        <v>36</v>
      </c>
      <c r="AS4" s="65" t="s">
        <v>75</v>
      </c>
      <c r="AT4" s="132"/>
      <c r="AV4" s="65" t="s">
        <v>15</v>
      </c>
      <c r="AW4" s="65" t="s">
        <v>29</v>
      </c>
      <c r="AX4" s="65" t="s">
        <v>37</v>
      </c>
      <c r="AY4" s="53" t="s">
        <v>44</v>
      </c>
      <c r="AZ4" s="53" t="s">
        <v>28</v>
      </c>
      <c r="BA4" s="53" t="s">
        <v>35</v>
      </c>
      <c r="BB4" s="53" t="s">
        <v>36</v>
      </c>
      <c r="BC4" s="53" t="s">
        <v>73</v>
      </c>
      <c r="BD4" s="53" t="s">
        <v>38</v>
      </c>
      <c r="BG4" s="53" t="s">
        <v>15</v>
      </c>
      <c r="BH4" s="53" t="s">
        <v>33</v>
      </c>
      <c r="BI4" s="53" t="s">
        <v>37</v>
      </c>
      <c r="BJ4" s="53" t="s">
        <v>44</v>
      </c>
      <c r="BK4" s="53" t="s">
        <v>28</v>
      </c>
      <c r="BL4" s="53" t="s">
        <v>35</v>
      </c>
      <c r="BM4" s="53" t="s">
        <v>36</v>
      </c>
      <c r="BN4" s="53" t="s">
        <v>69</v>
      </c>
      <c r="BO4" s="53" t="s">
        <v>38</v>
      </c>
    </row>
    <row r="5" spans="1:67" x14ac:dyDescent="0.25">
      <c r="A5" s="34" t="s">
        <v>5</v>
      </c>
      <c r="B5" s="36" t="str">
        <f>IF(Start!C5="","",Start!C5)</f>
        <v>w</v>
      </c>
      <c r="E5" s="37" t="s">
        <v>8</v>
      </c>
      <c r="G5" s="38">
        <f>IF(G3="","",IF(B6="","",(G3-B6)/365))</f>
        <v>55.906849315068492</v>
      </c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D5" s="96"/>
      <c r="AG5" s="85"/>
      <c r="AH5" s="85"/>
      <c r="AJ5" s="131">
        <f>AO5</f>
        <v>0</v>
      </c>
      <c r="AK5" s="65">
        <v>1</v>
      </c>
      <c r="AL5" s="133">
        <f>IF(A13="","",E13)</f>
        <v>76</v>
      </c>
      <c r="AM5" s="133">
        <f>IF(A13=0,0,A13)</f>
        <v>0</v>
      </c>
      <c r="AN5" s="65">
        <v>130</v>
      </c>
      <c r="AO5" s="133">
        <f t="shared" ref="AO5:AO11" si="0">IF(A13="",#N/A,A13)</f>
        <v>0</v>
      </c>
      <c r="AP5" s="65">
        <f>AO5</f>
        <v>0</v>
      </c>
      <c r="AQ5" s="65">
        <f>AP5*AP5</f>
        <v>0</v>
      </c>
      <c r="AR5" s="65">
        <f>AQ5*AO5</f>
        <v>0</v>
      </c>
      <c r="AS5" s="65">
        <f>AR5*AP5</f>
        <v>0</v>
      </c>
      <c r="AT5" s="132"/>
      <c r="AU5" s="65">
        <v>1</v>
      </c>
      <c r="AV5" s="65">
        <f>IF(G13="",#N/A,G13)</f>
        <v>1.4</v>
      </c>
      <c r="AW5" s="129">
        <f>IF(A13="",#N/A,A13)</f>
        <v>0</v>
      </c>
      <c r="AX5" s="134">
        <f>$G$22+0.2</f>
        <v>1.5999999999999999</v>
      </c>
      <c r="AY5" s="78">
        <f>AW5</f>
        <v>0</v>
      </c>
      <c r="AZ5" s="53">
        <f>AY5</f>
        <v>0</v>
      </c>
      <c r="BA5" s="53">
        <f>AZ5*AZ5</f>
        <v>0</v>
      </c>
      <c r="BB5" s="53">
        <f>BA5*AY5</f>
        <v>0</v>
      </c>
      <c r="BC5" s="53">
        <f>BB5*AZ5</f>
        <v>0</v>
      </c>
      <c r="BD5" s="119">
        <f>AX5+1.5</f>
        <v>3.0999999999999996</v>
      </c>
      <c r="BF5" s="53">
        <v>1</v>
      </c>
      <c r="BG5" s="53">
        <f>IF(A13="",#N/A,G13)</f>
        <v>1.4</v>
      </c>
      <c r="BH5" s="53">
        <f>IF(A13="",#N/A,E13)</f>
        <v>76</v>
      </c>
      <c r="BI5" s="53">
        <f>$G$22+0.2</f>
        <v>1.5999999999999999</v>
      </c>
      <c r="BJ5" s="53">
        <f>BH5</f>
        <v>76</v>
      </c>
      <c r="BK5" s="53">
        <f>BJ5</f>
        <v>76</v>
      </c>
      <c r="BL5" s="53">
        <f>BK5*BK5</f>
        <v>5776</v>
      </c>
      <c r="BM5" s="53">
        <f>BL5*BJ5</f>
        <v>438976</v>
      </c>
      <c r="BN5" s="53">
        <f>BM5*BK5</f>
        <v>33362176</v>
      </c>
      <c r="BO5" s="53">
        <f>BI5+1.5</f>
        <v>3.0999999999999996</v>
      </c>
    </row>
    <row r="6" spans="1:67" x14ac:dyDescent="0.25">
      <c r="A6" s="34" t="s">
        <v>49</v>
      </c>
      <c r="B6" s="39">
        <f>IF(Start!C6="","",Start!C6)</f>
        <v>23133</v>
      </c>
      <c r="E6" s="40" t="s">
        <v>9</v>
      </c>
      <c r="G6" s="41">
        <f>IF(G5="","",(220-G5)*0.9)</f>
        <v>147.68383561643836</v>
      </c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D6" s="98"/>
      <c r="AG6" s="86"/>
      <c r="AH6" s="86"/>
      <c r="AJ6" s="131">
        <f t="shared" ref="AJ6:AJ11" si="1">AO6</f>
        <v>40</v>
      </c>
      <c r="AK6" s="65">
        <v>2</v>
      </c>
      <c r="AL6" s="133">
        <f t="shared" ref="AL6:AL11" si="2">IF(A14="",#N/A,E14)</f>
        <v>88</v>
      </c>
      <c r="AM6" s="133">
        <f>IF(A14="","",A14)</f>
        <v>40</v>
      </c>
      <c r="AN6" s="65">
        <v>130</v>
      </c>
      <c r="AO6" s="133">
        <f t="shared" si="0"/>
        <v>40</v>
      </c>
      <c r="AP6" s="65">
        <f t="shared" ref="AP6:AP11" si="3">AO6</f>
        <v>40</v>
      </c>
      <c r="AQ6" s="65">
        <f t="shared" ref="AQ6:AQ11" si="4">AP6*AP6</f>
        <v>1600</v>
      </c>
      <c r="AR6" s="65">
        <f t="shared" ref="AR6:AR11" si="5">AQ6*AO6</f>
        <v>64000</v>
      </c>
      <c r="AS6" s="65">
        <f t="shared" ref="AS6:AS11" si="6">AR6*AP6</f>
        <v>2560000</v>
      </c>
      <c r="AT6" s="132"/>
      <c r="AU6" s="65">
        <v>2</v>
      </c>
      <c r="AV6" s="65">
        <f t="shared" ref="AV6:AV11" si="7">IF(G14="",#N/A,G14)</f>
        <v>1.7</v>
      </c>
      <c r="AW6" s="129">
        <f t="shared" ref="AW6:AW11" si="8">IF(A14="",#N/A,A14)</f>
        <v>40</v>
      </c>
      <c r="AX6" s="134">
        <f t="shared" ref="AX6:AX11" si="9">$G$22+0.2</f>
        <v>1.5999999999999999</v>
      </c>
      <c r="AY6" s="78">
        <f t="shared" ref="AY6:AY11" si="10">AW6</f>
        <v>40</v>
      </c>
      <c r="AZ6" s="53">
        <f t="shared" ref="AZ6:AZ11" si="11">AY6</f>
        <v>40</v>
      </c>
      <c r="BA6" s="53">
        <f t="shared" ref="BA6:BA11" si="12">AZ6*AZ6</f>
        <v>1600</v>
      </c>
      <c r="BB6" s="53">
        <f t="shared" ref="BB6:BB11" si="13">BA6*AY6</f>
        <v>64000</v>
      </c>
      <c r="BC6" s="53">
        <f t="shared" ref="BC6:BC11" si="14">BB6*AZ6</f>
        <v>2560000</v>
      </c>
      <c r="BD6" s="119">
        <f t="shared" ref="BD6:BD11" si="15">AX6+1.5</f>
        <v>3.0999999999999996</v>
      </c>
      <c r="BF6" s="53">
        <v>2</v>
      </c>
      <c r="BG6" s="53">
        <f t="shared" ref="BG6:BG11" si="16">IF(A14="",#N/A,G14)</f>
        <v>1.7</v>
      </c>
      <c r="BH6" s="53">
        <f t="shared" ref="BH6:BH11" si="17">IF(A14="",#N/A,E14)</f>
        <v>88</v>
      </c>
      <c r="BI6" s="53">
        <f t="shared" ref="BI6:BI11" si="18">$G$22+0.2</f>
        <v>1.5999999999999999</v>
      </c>
      <c r="BJ6" s="53">
        <f t="shared" ref="BJ6:BJ11" si="19">BH6</f>
        <v>88</v>
      </c>
      <c r="BK6" s="53">
        <f t="shared" ref="BK6:BK11" si="20">BJ6</f>
        <v>88</v>
      </c>
      <c r="BL6" s="53">
        <f t="shared" ref="BL6:BL11" si="21">BK6*BK6</f>
        <v>7744</v>
      </c>
      <c r="BM6" s="53">
        <f t="shared" ref="BM6:BM11" si="22">BL6*BJ6</f>
        <v>681472</v>
      </c>
      <c r="BN6" s="53">
        <f t="shared" ref="BN6:BN11" si="23">BM6*BK6</f>
        <v>59969536</v>
      </c>
      <c r="BO6" s="53">
        <f t="shared" ref="BO6:BO11" si="24">BI6+1.5</f>
        <v>3.0999999999999996</v>
      </c>
    </row>
    <row r="7" spans="1:67" x14ac:dyDescent="0.25">
      <c r="A7" s="34" t="s">
        <v>45</v>
      </c>
      <c r="B7" s="36" t="str">
        <f>IF(Start!C7="","",Start!C7)</f>
        <v/>
      </c>
      <c r="E7" s="34" t="s">
        <v>52</v>
      </c>
      <c r="G7" s="42">
        <f>IF(Start!C11="","",Start!C11)</f>
        <v>0</v>
      </c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D7" s="99"/>
      <c r="AG7" s="87"/>
      <c r="AH7" s="87"/>
      <c r="AJ7" s="131">
        <f t="shared" si="1"/>
        <v>80</v>
      </c>
      <c r="AK7" s="65">
        <v>3</v>
      </c>
      <c r="AL7" s="133">
        <f t="shared" si="2"/>
        <v>110</v>
      </c>
      <c r="AM7" s="133">
        <f>IF(A15="",#N/A,A15)</f>
        <v>80</v>
      </c>
      <c r="AN7" s="65">
        <v>130</v>
      </c>
      <c r="AO7" s="133">
        <f t="shared" si="0"/>
        <v>80</v>
      </c>
      <c r="AP7" s="65">
        <f t="shared" si="3"/>
        <v>80</v>
      </c>
      <c r="AQ7" s="65">
        <f t="shared" si="4"/>
        <v>6400</v>
      </c>
      <c r="AR7" s="65">
        <f t="shared" si="5"/>
        <v>512000</v>
      </c>
      <c r="AS7" s="65">
        <f t="shared" si="6"/>
        <v>40960000</v>
      </c>
      <c r="AT7" s="132"/>
      <c r="AU7" s="65">
        <v>3</v>
      </c>
      <c r="AV7" s="65">
        <f t="shared" si="7"/>
        <v>2.7</v>
      </c>
      <c r="AW7" s="129">
        <f t="shared" si="8"/>
        <v>80</v>
      </c>
      <c r="AX7" s="134">
        <f t="shared" si="9"/>
        <v>1.5999999999999999</v>
      </c>
      <c r="AY7" s="78">
        <f t="shared" si="10"/>
        <v>80</v>
      </c>
      <c r="AZ7" s="53">
        <f t="shared" si="11"/>
        <v>80</v>
      </c>
      <c r="BA7" s="53">
        <f t="shared" si="12"/>
        <v>6400</v>
      </c>
      <c r="BB7" s="53">
        <f t="shared" si="13"/>
        <v>512000</v>
      </c>
      <c r="BC7" s="53">
        <f t="shared" si="14"/>
        <v>40960000</v>
      </c>
      <c r="BD7" s="119">
        <f t="shared" si="15"/>
        <v>3.0999999999999996</v>
      </c>
      <c r="BF7" s="53">
        <v>3</v>
      </c>
      <c r="BG7" s="53">
        <f t="shared" si="16"/>
        <v>2.7</v>
      </c>
      <c r="BH7" s="53">
        <f t="shared" si="17"/>
        <v>110</v>
      </c>
      <c r="BI7" s="53">
        <f t="shared" si="18"/>
        <v>1.5999999999999999</v>
      </c>
      <c r="BJ7" s="53">
        <f t="shared" si="19"/>
        <v>110</v>
      </c>
      <c r="BK7" s="53">
        <f t="shared" si="20"/>
        <v>110</v>
      </c>
      <c r="BL7" s="53">
        <f t="shared" si="21"/>
        <v>12100</v>
      </c>
      <c r="BM7" s="53">
        <f t="shared" si="22"/>
        <v>1331000</v>
      </c>
      <c r="BN7" s="53">
        <f t="shared" si="23"/>
        <v>146410000</v>
      </c>
      <c r="BO7" s="53">
        <f t="shared" si="24"/>
        <v>3.0999999999999996</v>
      </c>
    </row>
    <row r="8" spans="1:67" x14ac:dyDescent="0.25">
      <c r="A8" s="34" t="s">
        <v>6</v>
      </c>
      <c r="B8" s="43">
        <f>IF(Start!C8="","",Start!C8)</f>
        <v>157</v>
      </c>
      <c r="E8" s="34" t="s">
        <v>10</v>
      </c>
      <c r="G8" s="42">
        <f>IF(Start!C12="","",Start!C12)</f>
        <v>40</v>
      </c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D8" s="99"/>
      <c r="AG8" s="87"/>
      <c r="AH8" s="87"/>
      <c r="AJ8" s="131">
        <f t="shared" si="1"/>
        <v>120</v>
      </c>
      <c r="AK8" s="65">
        <v>4</v>
      </c>
      <c r="AL8" s="133">
        <f t="shared" si="2"/>
        <v>132</v>
      </c>
      <c r="AM8" s="133">
        <f>IF(A16="","",A16)</f>
        <v>120</v>
      </c>
      <c r="AN8" s="65">
        <v>130</v>
      </c>
      <c r="AO8" s="133">
        <f t="shared" si="0"/>
        <v>120</v>
      </c>
      <c r="AP8" s="65">
        <f t="shared" si="3"/>
        <v>120</v>
      </c>
      <c r="AQ8" s="65">
        <f t="shared" si="4"/>
        <v>14400</v>
      </c>
      <c r="AR8" s="65">
        <f t="shared" si="5"/>
        <v>1728000</v>
      </c>
      <c r="AS8" s="65">
        <f t="shared" si="6"/>
        <v>207360000</v>
      </c>
      <c r="AT8" s="132"/>
      <c r="AU8" s="65">
        <v>4</v>
      </c>
      <c r="AV8" s="65">
        <f t="shared" si="7"/>
        <v>4.2</v>
      </c>
      <c r="AW8" s="129">
        <f t="shared" si="8"/>
        <v>120</v>
      </c>
      <c r="AX8" s="134">
        <f t="shared" si="9"/>
        <v>1.5999999999999999</v>
      </c>
      <c r="AY8" s="78">
        <f t="shared" si="10"/>
        <v>120</v>
      </c>
      <c r="AZ8" s="53">
        <f t="shared" si="11"/>
        <v>120</v>
      </c>
      <c r="BA8" s="53">
        <f t="shared" si="12"/>
        <v>14400</v>
      </c>
      <c r="BB8" s="53">
        <f t="shared" si="13"/>
        <v>1728000</v>
      </c>
      <c r="BC8" s="53">
        <f t="shared" si="14"/>
        <v>207360000</v>
      </c>
      <c r="BD8" s="119">
        <f t="shared" si="15"/>
        <v>3.0999999999999996</v>
      </c>
      <c r="BF8" s="53">
        <v>4</v>
      </c>
      <c r="BG8" s="53">
        <f t="shared" si="16"/>
        <v>4.2</v>
      </c>
      <c r="BH8" s="53">
        <f t="shared" si="17"/>
        <v>132</v>
      </c>
      <c r="BI8" s="53">
        <f t="shared" si="18"/>
        <v>1.5999999999999999</v>
      </c>
      <c r="BJ8" s="53">
        <f t="shared" si="19"/>
        <v>132</v>
      </c>
      <c r="BK8" s="53">
        <f t="shared" si="20"/>
        <v>132</v>
      </c>
      <c r="BL8" s="53">
        <f t="shared" si="21"/>
        <v>17424</v>
      </c>
      <c r="BM8" s="53">
        <f t="shared" si="22"/>
        <v>2299968</v>
      </c>
      <c r="BN8" s="53">
        <f t="shared" si="23"/>
        <v>303595776</v>
      </c>
      <c r="BO8" s="53">
        <f t="shared" si="24"/>
        <v>3.0999999999999996</v>
      </c>
    </row>
    <row r="9" spans="1:67" x14ac:dyDescent="0.25">
      <c r="A9" s="34" t="s">
        <v>7</v>
      </c>
      <c r="B9" s="44">
        <f>IF(Start!C9="","",Start!C9)</f>
        <v>83</v>
      </c>
      <c r="AJ9" s="131" t="e">
        <f t="shared" si="1"/>
        <v>#N/A</v>
      </c>
      <c r="AK9" s="65">
        <v>5</v>
      </c>
      <c r="AL9" s="65" t="e">
        <f t="shared" si="2"/>
        <v>#N/A</v>
      </c>
      <c r="AM9" s="65" t="e">
        <f>IF(A17="",#N/A,A17)</f>
        <v>#N/A</v>
      </c>
      <c r="AN9" s="65" t="e">
        <f>IF(A17="",#N/A,130)</f>
        <v>#N/A</v>
      </c>
      <c r="AO9" s="133" t="e">
        <f t="shared" si="0"/>
        <v>#N/A</v>
      </c>
      <c r="AP9" s="131" t="e">
        <f t="shared" si="3"/>
        <v>#N/A</v>
      </c>
      <c r="AQ9" s="131" t="e">
        <f t="shared" si="4"/>
        <v>#N/A</v>
      </c>
      <c r="AR9" s="65" t="e">
        <f t="shared" si="5"/>
        <v>#N/A</v>
      </c>
      <c r="AS9" s="65" t="e">
        <f t="shared" si="6"/>
        <v>#N/A</v>
      </c>
      <c r="AT9" s="132"/>
      <c r="AU9" s="65">
        <v>5</v>
      </c>
      <c r="AV9" s="65" t="e">
        <f t="shared" si="7"/>
        <v>#N/A</v>
      </c>
      <c r="AW9" s="129" t="e">
        <f t="shared" si="8"/>
        <v>#N/A</v>
      </c>
      <c r="AX9" s="134">
        <f t="shared" si="9"/>
        <v>1.5999999999999999</v>
      </c>
      <c r="AY9" s="78" t="e">
        <f t="shared" si="10"/>
        <v>#N/A</v>
      </c>
      <c r="AZ9" s="53" t="e">
        <f t="shared" si="11"/>
        <v>#N/A</v>
      </c>
      <c r="BA9" s="53" t="e">
        <f t="shared" si="12"/>
        <v>#N/A</v>
      </c>
      <c r="BB9" s="53" t="e">
        <f t="shared" si="13"/>
        <v>#N/A</v>
      </c>
      <c r="BC9" s="53" t="e">
        <f t="shared" si="14"/>
        <v>#N/A</v>
      </c>
      <c r="BD9" s="119">
        <f t="shared" si="15"/>
        <v>3.0999999999999996</v>
      </c>
      <c r="BF9" s="53">
        <v>5</v>
      </c>
      <c r="BG9" s="53" t="e">
        <f t="shared" si="16"/>
        <v>#N/A</v>
      </c>
      <c r="BH9" s="53" t="e">
        <f t="shared" si="17"/>
        <v>#N/A</v>
      </c>
      <c r="BI9" s="53">
        <f t="shared" si="18"/>
        <v>1.5999999999999999</v>
      </c>
      <c r="BJ9" s="53" t="e">
        <f t="shared" si="19"/>
        <v>#N/A</v>
      </c>
      <c r="BK9" s="53" t="e">
        <f t="shared" si="20"/>
        <v>#N/A</v>
      </c>
      <c r="BL9" s="53" t="e">
        <f t="shared" si="21"/>
        <v>#N/A</v>
      </c>
      <c r="BM9" s="53" t="e">
        <f t="shared" si="22"/>
        <v>#N/A</v>
      </c>
      <c r="BN9" s="53" t="e">
        <f t="shared" si="23"/>
        <v>#N/A</v>
      </c>
      <c r="BO9" s="53">
        <f t="shared" si="24"/>
        <v>3.0999999999999996</v>
      </c>
    </row>
    <row r="10" spans="1:67" x14ac:dyDescent="0.25">
      <c r="AJ10" s="131" t="e">
        <f t="shared" si="1"/>
        <v>#N/A</v>
      </c>
      <c r="AK10" s="65">
        <v>6</v>
      </c>
      <c r="AL10" s="65" t="e">
        <f t="shared" si="2"/>
        <v>#N/A</v>
      </c>
      <c r="AM10" s="65" t="e">
        <f>IF(A18="",#N/A,A18)</f>
        <v>#N/A</v>
      </c>
      <c r="AN10" s="65" t="e">
        <f>IF(A18="",#N/A,130)</f>
        <v>#N/A</v>
      </c>
      <c r="AO10" s="133" t="e">
        <f t="shared" si="0"/>
        <v>#N/A</v>
      </c>
      <c r="AP10" s="131" t="e">
        <f t="shared" si="3"/>
        <v>#N/A</v>
      </c>
      <c r="AQ10" s="131" t="e">
        <f t="shared" si="4"/>
        <v>#N/A</v>
      </c>
      <c r="AR10" s="65" t="e">
        <f t="shared" si="5"/>
        <v>#N/A</v>
      </c>
      <c r="AS10" s="65" t="e">
        <f t="shared" si="6"/>
        <v>#N/A</v>
      </c>
      <c r="AU10" s="65">
        <v>6</v>
      </c>
      <c r="AV10" s="65" t="e">
        <f t="shared" si="7"/>
        <v>#N/A</v>
      </c>
      <c r="AW10" s="129" t="e">
        <f t="shared" si="8"/>
        <v>#N/A</v>
      </c>
      <c r="AX10" s="134">
        <f t="shared" si="9"/>
        <v>1.5999999999999999</v>
      </c>
      <c r="AY10" s="78" t="e">
        <f t="shared" si="10"/>
        <v>#N/A</v>
      </c>
      <c r="AZ10" s="53" t="e">
        <f t="shared" si="11"/>
        <v>#N/A</v>
      </c>
      <c r="BA10" s="53" t="e">
        <f t="shared" si="12"/>
        <v>#N/A</v>
      </c>
      <c r="BB10" s="53" t="e">
        <f t="shared" si="13"/>
        <v>#N/A</v>
      </c>
      <c r="BC10" s="53" t="e">
        <f t="shared" si="14"/>
        <v>#N/A</v>
      </c>
      <c r="BD10" s="119">
        <f t="shared" si="15"/>
        <v>3.0999999999999996</v>
      </c>
      <c r="BF10" s="53">
        <v>6</v>
      </c>
      <c r="BG10" s="53" t="e">
        <f t="shared" si="16"/>
        <v>#N/A</v>
      </c>
      <c r="BH10" s="53" t="e">
        <f t="shared" si="17"/>
        <v>#N/A</v>
      </c>
      <c r="BI10" s="53">
        <f t="shared" si="18"/>
        <v>1.5999999999999999</v>
      </c>
      <c r="BJ10" s="53" t="e">
        <f t="shared" si="19"/>
        <v>#N/A</v>
      </c>
      <c r="BK10" s="53" t="e">
        <f t="shared" si="20"/>
        <v>#N/A</v>
      </c>
      <c r="BL10" s="53" t="e">
        <f t="shared" si="21"/>
        <v>#N/A</v>
      </c>
      <c r="BM10" s="53" t="e">
        <f t="shared" si="22"/>
        <v>#N/A</v>
      </c>
      <c r="BN10" s="53" t="e">
        <f t="shared" si="23"/>
        <v>#N/A</v>
      </c>
      <c r="BO10" s="53">
        <f t="shared" si="24"/>
        <v>3.0999999999999996</v>
      </c>
    </row>
    <row r="11" spans="1:67" x14ac:dyDescent="0.25">
      <c r="AC11" s="53"/>
      <c r="AJ11" s="131" t="e">
        <f t="shared" si="1"/>
        <v>#N/A</v>
      </c>
      <c r="AK11" s="65">
        <v>7</v>
      </c>
      <c r="AL11" s="65" t="e">
        <f t="shared" si="2"/>
        <v>#N/A</v>
      </c>
      <c r="AM11" s="65" t="e">
        <f>IF(A19="",#N/A,A19)</f>
        <v>#N/A</v>
      </c>
      <c r="AN11" s="65" t="e">
        <f>IF(A19="",#N/A,130)</f>
        <v>#N/A</v>
      </c>
      <c r="AO11" s="133" t="e">
        <f t="shared" si="0"/>
        <v>#N/A</v>
      </c>
      <c r="AP11" s="131" t="e">
        <f t="shared" si="3"/>
        <v>#N/A</v>
      </c>
      <c r="AQ11" s="131" t="e">
        <f t="shared" si="4"/>
        <v>#N/A</v>
      </c>
      <c r="AR11" s="65" t="e">
        <f t="shared" si="5"/>
        <v>#N/A</v>
      </c>
      <c r="AS11" s="65" t="e">
        <f t="shared" si="6"/>
        <v>#N/A</v>
      </c>
      <c r="AU11" s="65">
        <v>7</v>
      </c>
      <c r="AV11" s="65" t="e">
        <f t="shared" si="7"/>
        <v>#N/A</v>
      </c>
      <c r="AW11" s="129" t="e">
        <f t="shared" si="8"/>
        <v>#N/A</v>
      </c>
      <c r="AX11" s="134">
        <f t="shared" si="9"/>
        <v>1.5999999999999999</v>
      </c>
      <c r="AY11" s="78" t="e">
        <f t="shared" si="10"/>
        <v>#N/A</v>
      </c>
      <c r="AZ11" s="53" t="e">
        <f t="shared" si="11"/>
        <v>#N/A</v>
      </c>
      <c r="BA11" s="53" t="e">
        <f t="shared" si="12"/>
        <v>#N/A</v>
      </c>
      <c r="BB11" s="53" t="e">
        <f t="shared" si="13"/>
        <v>#N/A</v>
      </c>
      <c r="BC11" s="53" t="e">
        <f t="shared" si="14"/>
        <v>#N/A</v>
      </c>
      <c r="BD11" s="119">
        <f t="shared" si="15"/>
        <v>3.0999999999999996</v>
      </c>
      <c r="BF11" s="53">
        <v>7</v>
      </c>
      <c r="BG11" s="53" t="e">
        <f t="shared" si="16"/>
        <v>#N/A</v>
      </c>
      <c r="BH11" s="53" t="e">
        <f t="shared" si="17"/>
        <v>#N/A</v>
      </c>
      <c r="BI11" s="53">
        <f t="shared" si="18"/>
        <v>1.5999999999999999</v>
      </c>
      <c r="BJ11" s="53" t="e">
        <f t="shared" si="19"/>
        <v>#N/A</v>
      </c>
      <c r="BK11" s="53" t="e">
        <f t="shared" si="20"/>
        <v>#N/A</v>
      </c>
      <c r="BL11" s="53" t="e">
        <f t="shared" si="21"/>
        <v>#N/A</v>
      </c>
      <c r="BM11" s="53" t="e">
        <f t="shared" si="22"/>
        <v>#N/A</v>
      </c>
      <c r="BN11" s="53" t="e">
        <f t="shared" si="23"/>
        <v>#N/A</v>
      </c>
      <c r="BO11" s="53">
        <f t="shared" si="24"/>
        <v>3.0999999999999996</v>
      </c>
    </row>
    <row r="12" spans="1:67" x14ac:dyDescent="0.25">
      <c r="A12" s="34" t="s">
        <v>63</v>
      </c>
      <c r="B12" s="45" t="s">
        <v>11</v>
      </c>
      <c r="C12" s="45" t="s">
        <v>12</v>
      </c>
      <c r="D12" s="45" t="s">
        <v>13</v>
      </c>
      <c r="E12" s="45" t="s">
        <v>14</v>
      </c>
      <c r="F12" s="45" t="s">
        <v>34</v>
      </c>
      <c r="G12" s="46" t="s">
        <v>15</v>
      </c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53"/>
      <c r="AP12" s="135"/>
    </row>
    <row r="13" spans="1:67" x14ac:dyDescent="0.25">
      <c r="A13" s="66">
        <f>G7</f>
        <v>0</v>
      </c>
      <c r="B13" s="47">
        <f>A96</f>
        <v>0.125</v>
      </c>
      <c r="C13" s="48">
        <f>C96</f>
        <v>120</v>
      </c>
      <c r="D13" s="48">
        <f>D96</f>
        <v>70</v>
      </c>
      <c r="E13" s="49">
        <f>B96</f>
        <v>76</v>
      </c>
      <c r="F13" s="50">
        <f>C13-D13</f>
        <v>50</v>
      </c>
      <c r="G13" s="16">
        <f>IF(E96="","",E96)</f>
        <v>1.4</v>
      </c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78">
        <f>A13+80</f>
        <v>80</v>
      </c>
      <c r="AK13" s="65">
        <v>3</v>
      </c>
      <c r="AL13" s="136"/>
      <c r="AM13" s="136"/>
      <c r="AN13" s="136">
        <f t="array" ref="AN13:AP13">LINEST(AL5:AL7,AP5:AQ7)</f>
        <v>3.1250000000000006E-3</v>
      </c>
      <c r="AO13" s="136">
        <v>0.17499999999999988</v>
      </c>
      <c r="AP13" s="136">
        <v>76</v>
      </c>
      <c r="AU13" s="65">
        <v>3</v>
      </c>
      <c r="AX13" s="65">
        <f t="array" ref="AX13:AZ13">LINEST(AV5:AV7,AZ5:BA7)</f>
        <v>2.1875000000000003E-4</v>
      </c>
      <c r="AY13" s="53">
        <v>-1.2500000000000024E-3</v>
      </c>
      <c r="AZ13" s="53">
        <v>1.4</v>
      </c>
      <c r="BF13" s="53">
        <v>3</v>
      </c>
      <c r="BI13" s="53">
        <f t="array" ref="BI13:BK13">LINEST(BG5:BG7,BK5:BL7)</f>
        <v>6.01604278074867E-4</v>
      </c>
      <c r="BJ13" s="53">
        <v>-7.3663101604278206E-2</v>
      </c>
      <c r="BK13" s="53">
        <v>3.5235294117647111</v>
      </c>
    </row>
    <row r="14" spans="1:67" x14ac:dyDescent="0.25">
      <c r="A14" s="66">
        <f t="shared" ref="A14:A21" si="25">IF(B14="","",IF(OR(B14="Ruhe 3:00",B14="Ruhe 6:00"),"",A13+$G$8))</f>
        <v>40</v>
      </c>
      <c r="B14" s="47">
        <f>A97</f>
        <v>0.25</v>
      </c>
      <c r="C14" s="48">
        <f>C97</f>
        <v>130</v>
      </c>
      <c r="D14" s="48">
        <f>D97</f>
        <v>75</v>
      </c>
      <c r="E14" s="49">
        <f>B97</f>
        <v>88</v>
      </c>
      <c r="F14" s="50">
        <f>C14-D14</f>
        <v>55</v>
      </c>
      <c r="G14" s="16">
        <f>IF(E97="","",E97)</f>
        <v>1.7</v>
      </c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78">
        <f t="shared" ref="AC14:AC21" si="26">A14+80</f>
        <v>120</v>
      </c>
      <c r="AK14" s="65">
        <v>4</v>
      </c>
      <c r="AL14" s="136"/>
      <c r="AM14" s="136">
        <f t="array" ref="AM14:AP14">LINEST(AL5:AL8,AP5:AR8)</f>
        <v>-2.6041666666666526E-5</v>
      </c>
      <c r="AN14" s="136">
        <v>6.2499999999999726E-3</v>
      </c>
      <c r="AO14" s="136">
        <v>9.1666666666667951E-2</v>
      </c>
      <c r="AP14" s="136">
        <v>76</v>
      </c>
      <c r="AS14" s="65">
        <v>130</v>
      </c>
      <c r="AU14" s="65">
        <v>4</v>
      </c>
      <c r="AW14" s="65">
        <f t="array" ref="AW14:AZ14">LINEST(AV5:AV8,AZ5:BB8)</f>
        <v>-5.208333333333323E-7</v>
      </c>
      <c r="AX14" s="65">
        <v>2.8124999999999982E-4</v>
      </c>
      <c r="AY14" s="53">
        <v>-2.9166666666666633E-3</v>
      </c>
      <c r="AZ14" s="53">
        <v>1.4000000000000001</v>
      </c>
      <c r="BC14" s="119">
        <f>IF(G22=0,"",AX5)</f>
        <v>1.5999999999999999</v>
      </c>
      <c r="BF14" s="53">
        <v>4</v>
      </c>
      <c r="BH14" s="53">
        <f t="array" ref="BH14:BK14">LINEST(BG5:BG8,BK5:BM8)</f>
        <v>-1.519202722411119E-6</v>
      </c>
      <c r="BI14" s="53">
        <v>1.0178658240155051E-3</v>
      </c>
      <c r="BJ14" s="53">
        <v>-0.11122994652405876</v>
      </c>
      <c r="BK14" s="53">
        <v>4.6411764705880518</v>
      </c>
      <c r="BN14" s="53">
        <f>IF(G22=0,"",BI5)</f>
        <v>1.5999999999999999</v>
      </c>
    </row>
    <row r="15" spans="1:67" x14ac:dyDescent="0.25">
      <c r="A15" s="66">
        <f t="shared" si="25"/>
        <v>80</v>
      </c>
      <c r="B15" s="47">
        <f>IF(B98&gt;0,A98,IF(B14="Ruhe 3:00","Ruhe 6:00",IF(B14="Ruhe 6:00","",IF(B14="","","Ruhe 3:00"))))</f>
        <v>0.375</v>
      </c>
      <c r="C15" s="48">
        <f t="shared" ref="C15:C21" si="27">IF(B15="Ruhe 3:00",$C$103,IF(B15="Ruhe 6:00",$C$104,IF(B15="","",C98)))</f>
        <v>145</v>
      </c>
      <c r="D15" s="48">
        <f t="shared" ref="D15:D21" si="28">IF(B15="Ruhe 3:00",$D$103,IF(B15="Ruhe 6:00",$D$104,IF(B15="","",D98)))</f>
        <v>70</v>
      </c>
      <c r="E15" s="49">
        <f t="shared" ref="E15" si="29">IF(B15="Ruhe 3:00",$B$103,IF(B15="Ruhe 6:00",$B$104,IF(B15="","",B98)))</f>
        <v>110</v>
      </c>
      <c r="F15" s="50">
        <f t="shared" ref="F15:F21" si="30">IF(C15="","",C15-D15)</f>
        <v>75</v>
      </c>
      <c r="G15" s="16">
        <f>IF(E98="","",E98)</f>
        <v>2.7</v>
      </c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78">
        <f t="shared" si="26"/>
        <v>160</v>
      </c>
      <c r="AK15" s="65">
        <v>5</v>
      </c>
      <c r="AL15" s="136" t="e">
        <f t="array" ref="AL15:AP15">LINEST(AL5:AL9,AP5:AS9)</f>
        <v>#VALUE!</v>
      </c>
      <c r="AM15" s="136" t="e">
        <v>#VALUE!</v>
      </c>
      <c r="AN15" s="136" t="e">
        <v>#VALUE!</v>
      </c>
      <c r="AO15" s="136" t="e">
        <v>#VALUE!</v>
      </c>
      <c r="AP15" s="136" t="e">
        <v>#VALUE!</v>
      </c>
      <c r="AU15" s="65">
        <v>5</v>
      </c>
      <c r="AV15" s="65" t="e">
        <f t="array" ref="AV15:AZ15">LINEST(AV5:AV9,AZ5:BC9)</f>
        <v>#VALUE!</v>
      </c>
      <c r="AW15" s="65" t="e">
        <v>#VALUE!</v>
      </c>
      <c r="AX15" s="65" t="e">
        <v>#VALUE!</v>
      </c>
      <c r="AY15" s="53" t="e">
        <v>#VALUE!</v>
      </c>
      <c r="AZ15" s="53" t="e">
        <v>#VALUE!</v>
      </c>
      <c r="BC15" s="119">
        <f>BC14+1.5</f>
        <v>3.0999999999999996</v>
      </c>
      <c r="BF15" s="53">
        <v>5</v>
      </c>
      <c r="BG15" s="53" t="e">
        <f t="array" ref="BG15:BK15">LINEST(BG5:BG9,BK5:BN9)</f>
        <v>#VALUE!</v>
      </c>
      <c r="BH15" s="53" t="e">
        <v>#VALUE!</v>
      </c>
      <c r="BI15" s="53" t="e">
        <v>#VALUE!</v>
      </c>
      <c r="BJ15" s="53" t="e">
        <v>#VALUE!</v>
      </c>
      <c r="BK15" s="53" t="e">
        <v>#VALUE!</v>
      </c>
      <c r="BN15" s="53">
        <f>BN14+1.5</f>
        <v>3.0999999999999996</v>
      </c>
    </row>
    <row r="16" spans="1:67" x14ac:dyDescent="0.25">
      <c r="A16" s="66">
        <f t="shared" si="25"/>
        <v>120</v>
      </c>
      <c r="B16" s="47">
        <f>IF(B99="",IF(B15="Ruhe 3:00","Ruhe 6:00",IF(B15="Ruhe 6:00","",IF(B15="","","Ruhe 3:00"))),A99)</f>
        <v>0.5</v>
      </c>
      <c r="C16" s="48">
        <f t="shared" si="27"/>
        <v>160</v>
      </c>
      <c r="D16" s="48">
        <f t="shared" si="28"/>
        <v>75</v>
      </c>
      <c r="E16" s="49">
        <f t="shared" ref="E16:E21" si="31">IF(B16="Ruhe 3:00",$B$103,IF(B16="Ruhe 6:00",$B$104,IF(B16="",#N/A,B99)))</f>
        <v>132</v>
      </c>
      <c r="F16" s="50">
        <f t="shared" si="30"/>
        <v>85</v>
      </c>
      <c r="G16" s="16">
        <f>IF(E99="","",E99)</f>
        <v>4.2</v>
      </c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78">
        <f t="shared" si="26"/>
        <v>200</v>
      </c>
      <c r="AK16" s="65">
        <v>6</v>
      </c>
      <c r="AL16" s="136" t="e">
        <f t="array" ref="AL16:AP16">LINEST(AL5:AL10,AP5:AS10)</f>
        <v>#VALUE!</v>
      </c>
      <c r="AM16" s="136" t="e">
        <v>#VALUE!</v>
      </c>
      <c r="AN16" s="136" t="e">
        <v>#VALUE!</v>
      </c>
      <c r="AO16" s="136" t="e">
        <v>#VALUE!</v>
      </c>
      <c r="AP16" s="136" t="e">
        <v>#VALUE!</v>
      </c>
      <c r="AU16" s="65">
        <v>6</v>
      </c>
      <c r="AV16" s="65" t="e">
        <f t="array" ref="AV16:AZ16">LINEST(AV5:AV10,AZ5:BC10)</f>
        <v>#VALUE!</v>
      </c>
      <c r="AW16" s="65" t="e">
        <v>#VALUE!</v>
      </c>
      <c r="AX16" s="65" t="e">
        <v>#VALUE!</v>
      </c>
      <c r="AY16" s="53" t="e">
        <v>#VALUE!</v>
      </c>
      <c r="AZ16" s="53" t="e">
        <v>#VALUE!</v>
      </c>
      <c r="BF16" s="53">
        <v>6</v>
      </c>
      <c r="BG16" s="53" t="e">
        <f t="array" ref="BG16:BK16">LINEST(BG5:BG10,BK5:BN10)</f>
        <v>#VALUE!</v>
      </c>
      <c r="BH16" s="53" t="e">
        <v>#VALUE!</v>
      </c>
      <c r="BI16" s="53" t="e">
        <v>#VALUE!</v>
      </c>
      <c r="BJ16" s="53" t="e">
        <v>#VALUE!</v>
      </c>
      <c r="BK16" s="53" t="e">
        <v>#VALUE!</v>
      </c>
    </row>
    <row r="17" spans="1:66" x14ac:dyDescent="0.25">
      <c r="A17" s="66" t="str">
        <f t="shared" si="25"/>
        <v/>
      </c>
      <c r="B17" s="47" t="str">
        <f>IF(B100="",IF(B16="Ruhe 3:00","Ruhe 6:00",IF(B16="Ruhe 6:00","",IF(B16="","","Ruhe 3:00"))),A100)</f>
        <v>Ruhe 3:00</v>
      </c>
      <c r="C17" s="48">
        <f t="shared" si="27"/>
        <v>130</v>
      </c>
      <c r="D17" s="48">
        <f t="shared" si="28"/>
        <v>75</v>
      </c>
      <c r="E17" s="49">
        <f t="shared" si="31"/>
        <v>124</v>
      </c>
      <c r="F17" s="50">
        <f t="shared" si="30"/>
        <v>55</v>
      </c>
      <c r="G17" s="16" t="str">
        <f>IF(E100="","",E100)</f>
        <v/>
      </c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78" t="e">
        <f t="shared" si="26"/>
        <v>#VALUE!</v>
      </c>
      <c r="AK17" s="65">
        <v>7</v>
      </c>
      <c r="AL17" s="136" t="e">
        <f t="array" ref="AL17:AP17">LINEST(AL5:AL11,AP5:AS11)</f>
        <v>#VALUE!</v>
      </c>
      <c r="AM17" s="136" t="e">
        <v>#VALUE!</v>
      </c>
      <c r="AN17" s="136" t="e">
        <v>#VALUE!</v>
      </c>
      <c r="AO17" s="136" t="e">
        <v>#VALUE!</v>
      </c>
      <c r="AP17" s="136" t="e">
        <v>#VALUE!</v>
      </c>
      <c r="AS17" s="137">
        <f>VLOOKUP(AS14,AL21:AR114,2,2)</f>
        <v>114</v>
      </c>
      <c r="AU17" s="65">
        <v>7</v>
      </c>
      <c r="AV17" s="65" t="e">
        <f t="array" ref="AV17:AZ17">LINEST(AV5:AV11,AZ5:BC11)</f>
        <v>#VALUE!</v>
      </c>
      <c r="AW17" s="65" t="e">
        <v>#VALUE!</v>
      </c>
      <c r="AX17" s="65" t="e">
        <v>#VALUE!</v>
      </c>
      <c r="AY17" s="53" t="e">
        <v>#VALUE!</v>
      </c>
      <c r="AZ17" s="53" t="e">
        <v>#VALUE!</v>
      </c>
      <c r="BC17" s="53">
        <f>IF(BC14="","",VLOOKUP(BC14,AV21:BB114,2,2))</f>
        <v>32</v>
      </c>
      <c r="BF17" s="53">
        <v>7</v>
      </c>
      <c r="BG17" s="53" t="e">
        <f t="array" ref="BG17:BK17">LINEST(BG5:BG11,BK5:BN11)</f>
        <v>#VALUE!</v>
      </c>
      <c r="BH17" s="53" t="e">
        <v>#VALUE!</v>
      </c>
      <c r="BI17" s="53" t="e">
        <v>#VALUE!</v>
      </c>
      <c r="BJ17" s="53" t="e">
        <v>#VALUE!</v>
      </c>
      <c r="BK17" s="53" t="e">
        <v>#VALUE!</v>
      </c>
      <c r="BN17" s="53">
        <f>IF(BN14="","",VLOOKUP(BN14,BG21:BM114,2,2))</f>
        <v>84</v>
      </c>
    </row>
    <row r="18" spans="1:66" x14ac:dyDescent="0.25">
      <c r="A18" s="66" t="str">
        <f t="shared" si="25"/>
        <v/>
      </c>
      <c r="B18" s="47" t="str">
        <f>IF(B101="",IF(B17="Ruhe 3:00","Ruhe 6:00",IF(B17="Ruhe 6:00","",IF(B17="","","Ruhe 3:00"))),A101)</f>
        <v>Ruhe 6:00</v>
      </c>
      <c r="C18" s="48">
        <f t="shared" si="27"/>
        <v>120</v>
      </c>
      <c r="D18" s="48">
        <f t="shared" si="28"/>
        <v>70</v>
      </c>
      <c r="E18" s="49">
        <f t="shared" si="31"/>
        <v>100</v>
      </c>
      <c r="F18" s="50">
        <f t="shared" si="30"/>
        <v>50</v>
      </c>
      <c r="G18" s="16" t="str">
        <f>IF(B18="Ruhe 3:00",$E$103,IF(B18="Ruhe 6:00",$E$104,IF(B18="","",E101)))</f>
        <v/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78" t="e">
        <f t="shared" si="26"/>
        <v>#VALUE!</v>
      </c>
      <c r="AL18" s="136"/>
      <c r="AM18" s="136"/>
      <c r="AN18" s="136"/>
      <c r="BC18" s="53">
        <f>IF(BC14="","",VLOOKUP(BC15,AV21:BB114,2,2))</f>
        <v>90</v>
      </c>
      <c r="BN18" s="53">
        <f>IF(BN14="","",VLOOKUP(BN15,BG21:BM114,2,2))</f>
        <v>116</v>
      </c>
    </row>
    <row r="19" spans="1:66" x14ac:dyDescent="0.25">
      <c r="A19" s="66" t="str">
        <f t="shared" si="25"/>
        <v/>
      </c>
      <c r="B19" s="47" t="str">
        <f>IF(B102="",IF(B18="Ruhe 3:00","Ruhe 6:00",IF(B18="Ruhe 6:00","",IF(B18="","","Ruhe 3:00"))),A102)</f>
        <v/>
      </c>
      <c r="C19" s="48" t="str">
        <f t="shared" si="27"/>
        <v/>
      </c>
      <c r="D19" s="48" t="str">
        <f t="shared" si="28"/>
        <v/>
      </c>
      <c r="E19" s="49" t="e">
        <f t="shared" si="31"/>
        <v>#N/A</v>
      </c>
      <c r="F19" s="50" t="str">
        <f t="shared" si="30"/>
        <v/>
      </c>
      <c r="G19" s="16" t="str">
        <f>IF(B19="Ruhe 3:00",$E$103,IF(B19="Ruhe 6:00",$E$104,IF(B19="","")))</f>
        <v/>
      </c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78" t="e">
        <f t="shared" si="26"/>
        <v>#VALUE!</v>
      </c>
      <c r="AL19" s="65">
        <f>VLOOKUP($A$23,$AK$13:$AP$17,2)</f>
        <v>0</v>
      </c>
      <c r="AM19" s="65">
        <f>VLOOKUP($A$23,$AK$13:$AP$17,3)</f>
        <v>-2.6041666666666526E-5</v>
      </c>
      <c r="AN19" s="65">
        <f>VLOOKUP($A$23,$AK$13:$AP$17,4)</f>
        <v>6.2499999999999726E-3</v>
      </c>
      <c r="AO19" s="65">
        <f>VLOOKUP($A$23,$AK$13:$AP$17,5)</f>
        <v>9.1666666666667951E-2</v>
      </c>
      <c r="AP19" s="65">
        <f>VLOOKUP($A$23,$AK$13:$AP$17,6)</f>
        <v>76</v>
      </c>
      <c r="AV19" s="138">
        <f>VLOOKUP($A$23,$AU$13:$AZ$17,2)</f>
        <v>0</v>
      </c>
      <c r="AW19" s="138">
        <f>VLOOKUP($A$23,$AU$13:$AZ$17,3)</f>
        <v>-5.208333333333323E-7</v>
      </c>
      <c r="AX19" s="138">
        <f>VLOOKUP($A$23,$AU$13:$AZ$17,4)</f>
        <v>2.8124999999999982E-4</v>
      </c>
      <c r="AY19" s="122">
        <f>VLOOKUP($A$23,$AU$13:$AZ$17,5)</f>
        <v>-2.9166666666666633E-3</v>
      </c>
      <c r="AZ19" s="122">
        <f>VLOOKUP($A$23,$AU$13:$AZ$17,6)</f>
        <v>1.4000000000000001</v>
      </c>
      <c r="BG19" s="53">
        <f>VLOOKUP($A$23,$BF$13:$BK$17,2)</f>
        <v>0</v>
      </c>
      <c r="BH19" s="53">
        <f>VLOOKUP($A$23,$BF$13:$BK$17,3)</f>
        <v>-1.519202722411119E-6</v>
      </c>
      <c r="BI19" s="53">
        <f>VLOOKUP($A$23,$BF$13:$BK$17,4)</f>
        <v>1.0178658240155051E-3</v>
      </c>
      <c r="BJ19" s="53">
        <f>VLOOKUP($A$23,$BF$13:$BK$17,5)</f>
        <v>-0.11122994652405876</v>
      </c>
      <c r="BK19" s="53">
        <f>VLOOKUP($A$23,$BF$13:$BK$17,6)</f>
        <v>4.6411764705880518</v>
      </c>
    </row>
    <row r="20" spans="1:66" x14ac:dyDescent="0.25">
      <c r="A20" s="66" t="str">
        <f t="shared" si="25"/>
        <v/>
      </c>
      <c r="B20" s="47" t="str">
        <f>IF(B19="","",IF(B19="Ruhe 3:00","Ruhe 6:00",IF(B19="Ruhe 6:00","")))</f>
        <v/>
      </c>
      <c r="C20" s="48" t="str">
        <f t="shared" si="27"/>
        <v/>
      </c>
      <c r="D20" s="48" t="str">
        <f t="shared" si="28"/>
        <v/>
      </c>
      <c r="E20" s="49" t="e">
        <f t="shared" si="31"/>
        <v>#N/A</v>
      </c>
      <c r="F20" s="45" t="str">
        <f t="shared" si="30"/>
        <v/>
      </c>
      <c r="G20" s="16" t="str">
        <f>IF(B20="Ruhe 3:00",$E$103,IF(B20="Ruhe 6:00",$E$104,IF(B20="","")))</f>
        <v/>
      </c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78" t="e">
        <f t="shared" si="26"/>
        <v>#VALUE!</v>
      </c>
    </row>
    <row r="21" spans="1:66" x14ac:dyDescent="0.25">
      <c r="A21" s="78" t="str">
        <f t="shared" si="25"/>
        <v/>
      </c>
      <c r="B21" s="89" t="str">
        <f>IF(B20="","",IF(B20="Ruhe 3:00","Ruhe 6:00",IF(B20="Ruhe 6:00","")))</f>
        <v/>
      </c>
      <c r="C21" s="90" t="str">
        <f t="shared" si="27"/>
        <v/>
      </c>
      <c r="D21" s="48" t="str">
        <f t="shared" si="28"/>
        <v/>
      </c>
      <c r="E21" s="49" t="e">
        <f t="shared" si="31"/>
        <v>#N/A</v>
      </c>
      <c r="F21" s="91" t="str">
        <f t="shared" si="30"/>
        <v/>
      </c>
      <c r="G21" s="92" t="s">
        <v>16</v>
      </c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2"/>
      <c r="Z21" s="92"/>
      <c r="AA21" s="92"/>
      <c r="AB21" s="92"/>
      <c r="AC21" s="78" t="e">
        <f t="shared" si="26"/>
        <v>#VALUE!</v>
      </c>
      <c r="AL21" s="139">
        <f>AN21+AO21+AP21+AQ21+AR21</f>
        <v>88.000000000000014</v>
      </c>
      <c r="AM21" s="129">
        <f>A14</f>
        <v>40</v>
      </c>
      <c r="AN21" s="65">
        <f>AM21*AM21*AM21*AM21*$AL$19</f>
        <v>0</v>
      </c>
      <c r="AO21" s="65">
        <f>AM21*AM21*AM21*$AM$19</f>
        <v>-1.6666666666666576</v>
      </c>
      <c r="AP21" s="65">
        <f>AM21*AM21*$AN$19</f>
        <v>9.9999999999999556</v>
      </c>
      <c r="AQ21" s="65">
        <f>AM21*$AO$19</f>
        <v>3.666666666666718</v>
      </c>
      <c r="AR21" s="65">
        <f>$AP$19</f>
        <v>76</v>
      </c>
      <c r="AV21" s="139">
        <f>AX21+AY21+AZ21+BA21+BB21-0.01</f>
        <v>1.3900000000000001</v>
      </c>
      <c r="AW21" s="129">
        <f>IF(G13+0.2&lt;G14,A13,A14)</f>
        <v>0</v>
      </c>
      <c r="AX21" s="65">
        <f>AW21*AW21*AW21*AW21*$AV$19</f>
        <v>0</v>
      </c>
      <c r="AY21" s="53">
        <f>AW21*AW21*AW21*$AW$19</f>
        <v>0</v>
      </c>
      <c r="AZ21" s="53">
        <f>AW21*AW21*$AX$19</f>
        <v>0</v>
      </c>
      <c r="BA21" s="53">
        <f>AW21*$AY$19</f>
        <v>0</v>
      </c>
      <c r="BB21" s="53">
        <f>$AZ$19</f>
        <v>1.4000000000000001</v>
      </c>
      <c r="BG21" s="53">
        <f>BI21+BJ21+BK21+BL21+BM21-0.1</f>
        <v>1.2999999999999994</v>
      </c>
      <c r="BH21" s="53">
        <f>IF(G13+0.2&lt;G14,E13,E14)</f>
        <v>76</v>
      </c>
      <c r="BI21" s="53">
        <f>BH21*BH21*BH21*BH21*$BG$19</f>
        <v>0</v>
      </c>
      <c r="BJ21" s="53">
        <f>BH21*BH21*BH21*$BH$19</f>
        <v>-0.66689353427314335</v>
      </c>
      <c r="BK21" s="53">
        <f>BH21*BH21*$BI$19</f>
        <v>5.879192999513557</v>
      </c>
      <c r="BL21" s="53">
        <f>BH21*$BJ$19</f>
        <v>-8.4534759358284663</v>
      </c>
      <c r="BM21" s="53">
        <f>$BK$19</f>
        <v>4.6411764705880518</v>
      </c>
    </row>
    <row r="22" spans="1:66" x14ac:dyDescent="0.25">
      <c r="A22" s="53"/>
      <c r="B22" s="53"/>
      <c r="C22" s="53"/>
      <c r="D22" s="54" t="s">
        <v>17</v>
      </c>
      <c r="E22" s="53"/>
      <c r="F22" s="53"/>
      <c r="G22" s="33">
        <f>MIN(G13:G19)</f>
        <v>1.4</v>
      </c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53"/>
      <c r="AL22" s="139">
        <f t="shared" ref="AL22:AL113" si="32">AN22+AO22+AP22+AQ22+AR22</f>
        <v>88.945625000000021</v>
      </c>
      <c r="AM22" s="129">
        <f>AM21+2</f>
        <v>42</v>
      </c>
      <c r="AN22" s="65">
        <f t="shared" ref="AN22:AN113" si="33">AM22*AM22*AM22*AM22*$AL$19</f>
        <v>0</v>
      </c>
      <c r="AO22" s="65">
        <f t="shared" ref="AO22:AO113" si="34">AM22*AM22*AM22*$AM$19</f>
        <v>-1.9293749999999896</v>
      </c>
      <c r="AP22" s="65">
        <f t="shared" ref="AP22:AP113" si="35">AM22*AM22*$AN$19</f>
        <v>11.024999999999952</v>
      </c>
      <c r="AQ22" s="65">
        <f t="shared" ref="AQ22:AQ113" si="36">AM22*$AO$19</f>
        <v>3.8500000000000538</v>
      </c>
      <c r="AR22" s="65">
        <f t="shared" ref="AR22:AR113" si="37">$AP$19</f>
        <v>76</v>
      </c>
      <c r="AV22" s="139">
        <f>AX22+AY22+AZ22+BA22+BB22</f>
        <v>1.3952875000000002</v>
      </c>
      <c r="AW22" s="129">
        <f>AW21+2</f>
        <v>2</v>
      </c>
      <c r="AX22" s="65">
        <f>AW22*AW22*AW22*AW22*$AV$19</f>
        <v>0</v>
      </c>
      <c r="AY22" s="53">
        <f>AW22*AW22*AW22*$AW$19</f>
        <v>-4.1666666666666584E-6</v>
      </c>
      <c r="AZ22" s="53">
        <f>AW22*AW22*$AX$19</f>
        <v>1.1249999999999993E-3</v>
      </c>
      <c r="BA22" s="53">
        <f>AW22*$AY$19</f>
        <v>-5.8333333333333267E-3</v>
      </c>
      <c r="BB22" s="53">
        <f>$AZ$19</f>
        <v>1.4000000000000001</v>
      </c>
      <c r="BG22" s="53">
        <f>BI22+BJ22+BK22+BL22+BM22</f>
        <v>1.4178308823529413</v>
      </c>
      <c r="BH22" s="53">
        <f>BH21+1</f>
        <v>77</v>
      </c>
      <c r="BI22" s="53">
        <f t="shared" ref="BI22:BI113" si="38">BH22*BH22*BH22*BH22*$BG$19</f>
        <v>0</v>
      </c>
      <c r="BJ22" s="53">
        <f t="shared" ref="BJ22:BJ113" si="39">BH22*BH22*BH22*$BH$19</f>
        <v>-0.69356617647051544</v>
      </c>
      <c r="BK22" s="53">
        <f t="shared" ref="BK22:BK113" si="40">BH22*BH22*$BI$19</f>
        <v>6.03492647058793</v>
      </c>
      <c r="BL22" s="53">
        <f t="shared" ref="BL22:BL113" si="41">BH22*$BJ$19</f>
        <v>-8.5647058823525253</v>
      </c>
      <c r="BM22" s="53">
        <f t="shared" ref="BM22:BM113" si="42">$BK$19</f>
        <v>4.6411764705880518</v>
      </c>
    </row>
    <row r="23" spans="1:66" x14ac:dyDescent="0.25">
      <c r="A23" s="53">
        <f>COUNT(A13:A19)</f>
        <v>4</v>
      </c>
      <c r="B23" s="53"/>
      <c r="C23" s="55"/>
      <c r="D23" s="53"/>
      <c r="E23" s="65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L23" s="139">
        <f t="shared" si="32"/>
        <v>89.91500000000002</v>
      </c>
      <c r="AM23" s="129">
        <f t="shared" ref="AM23:AM114" si="43">AM22+2</f>
        <v>44</v>
      </c>
      <c r="AN23" s="65">
        <f t="shared" si="33"/>
        <v>0</v>
      </c>
      <c r="AO23" s="65">
        <f t="shared" si="34"/>
        <v>-2.2183333333333213</v>
      </c>
      <c r="AP23" s="65">
        <f t="shared" si="35"/>
        <v>12.099999999999946</v>
      </c>
      <c r="AQ23" s="65">
        <f t="shared" si="36"/>
        <v>4.0333333333333901</v>
      </c>
      <c r="AR23" s="65">
        <f t="shared" si="37"/>
        <v>76</v>
      </c>
      <c r="AV23" s="139">
        <f t="shared" ref="AV23:AV36" si="44">AX23+AY23+AZ23+BA23+BB23</f>
        <v>1.3928</v>
      </c>
      <c r="AW23" s="129">
        <f t="shared" ref="AW23:AW36" si="45">AW22+2</f>
        <v>4</v>
      </c>
      <c r="AX23" s="65">
        <f t="shared" ref="AX23:AX114" si="46">AW23*AW23*AW23*AW23*$AV$19</f>
        <v>0</v>
      </c>
      <c r="AY23" s="53">
        <f t="shared" ref="AY23:AY36" si="47">AW23*AW23*AW23*$AW$19</f>
        <v>-3.3333333333333267E-5</v>
      </c>
      <c r="AZ23" s="53">
        <f t="shared" ref="AZ23:AZ36" si="48">AW23*AW23*$AX$19</f>
        <v>4.4999999999999971E-3</v>
      </c>
      <c r="BA23" s="53">
        <f t="shared" ref="BA23:BA36" si="49">AW23*$AY$19</f>
        <v>-1.1666666666666653E-2</v>
      </c>
      <c r="BB23" s="53">
        <f t="shared" ref="BB23:BB114" si="50">$AZ$19</f>
        <v>1.4000000000000001</v>
      </c>
      <c r="BG23" s="53">
        <f t="shared" ref="BG23:BG85" si="51">BI23+BJ23+BK23+BL23+BM23</f>
        <v>1.4369956246961593</v>
      </c>
      <c r="BH23" s="53">
        <f t="shared" ref="BH23:BH114" si="52">BH22+1</f>
        <v>78</v>
      </c>
      <c r="BI23" s="53">
        <f t="shared" si="38"/>
        <v>0</v>
      </c>
      <c r="BJ23" s="53">
        <f t="shared" si="39"/>
        <v>-0.72094069032564134</v>
      </c>
      <c r="BK23" s="53">
        <f t="shared" si="40"/>
        <v>6.1926956733103333</v>
      </c>
      <c r="BL23" s="53">
        <f t="shared" si="41"/>
        <v>-8.6759358288765842</v>
      </c>
      <c r="BM23" s="53">
        <f t="shared" si="42"/>
        <v>4.6411764705880518</v>
      </c>
    </row>
    <row r="24" spans="1:66" x14ac:dyDescent="0.25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L24" s="139">
        <f t="shared" si="32"/>
        <v>90.906875000000014</v>
      </c>
      <c r="AM24" s="129">
        <f t="shared" si="43"/>
        <v>46</v>
      </c>
      <c r="AN24" s="65">
        <f t="shared" si="33"/>
        <v>0</v>
      </c>
      <c r="AO24" s="65">
        <f t="shared" si="34"/>
        <v>-2.5347916666666528</v>
      </c>
      <c r="AP24" s="65">
        <f t="shared" si="35"/>
        <v>13.224999999999943</v>
      </c>
      <c r="AQ24" s="65">
        <f t="shared" si="36"/>
        <v>4.2166666666667254</v>
      </c>
      <c r="AR24" s="65">
        <f t="shared" si="37"/>
        <v>76</v>
      </c>
      <c r="AV24" s="139">
        <f t="shared" si="44"/>
        <v>1.3925125</v>
      </c>
      <c r="AW24" s="129">
        <f t="shared" si="45"/>
        <v>6</v>
      </c>
      <c r="AX24" s="65">
        <f t="shared" si="46"/>
        <v>0</v>
      </c>
      <c r="AY24" s="53">
        <f t="shared" si="47"/>
        <v>-1.1249999999999978E-4</v>
      </c>
      <c r="AZ24" s="53">
        <f t="shared" si="48"/>
        <v>1.0124999999999993E-2</v>
      </c>
      <c r="BA24" s="53">
        <f t="shared" si="49"/>
        <v>-1.7499999999999981E-2</v>
      </c>
      <c r="BB24" s="53">
        <f t="shared" si="50"/>
        <v>1.4000000000000001</v>
      </c>
      <c r="BG24" s="53">
        <f t="shared" si="51"/>
        <v>1.4574851118133196</v>
      </c>
      <c r="BH24" s="53">
        <f t="shared" si="52"/>
        <v>79</v>
      </c>
      <c r="BI24" s="53">
        <f t="shared" si="38"/>
        <v>0</v>
      </c>
      <c r="BJ24" s="53">
        <f t="shared" si="39"/>
        <v>-0.74902619105485568</v>
      </c>
      <c r="BK24" s="53">
        <f t="shared" si="40"/>
        <v>6.3525006076807671</v>
      </c>
      <c r="BL24" s="53">
        <f t="shared" si="41"/>
        <v>-8.7871657754006431</v>
      </c>
      <c r="BM24" s="53">
        <f t="shared" si="42"/>
        <v>4.6411764705880518</v>
      </c>
    </row>
    <row r="25" spans="1:66" x14ac:dyDescent="0.25">
      <c r="C25" s="51"/>
      <c r="AJ25" s="140"/>
      <c r="AL25" s="139">
        <f t="shared" si="32"/>
        <v>91.920000000000016</v>
      </c>
      <c r="AM25" s="129">
        <f t="shared" si="43"/>
        <v>48</v>
      </c>
      <c r="AN25" s="65">
        <f t="shared" si="33"/>
        <v>0</v>
      </c>
      <c r="AO25" s="65">
        <f t="shared" si="34"/>
        <v>-2.8799999999999844</v>
      </c>
      <c r="AP25" s="65">
        <f t="shared" si="35"/>
        <v>14.399999999999936</v>
      </c>
      <c r="AQ25" s="65">
        <f t="shared" si="36"/>
        <v>4.4000000000000616</v>
      </c>
      <c r="AR25" s="65">
        <f t="shared" si="37"/>
        <v>76</v>
      </c>
      <c r="AV25" s="139">
        <f t="shared" si="44"/>
        <v>1.3944000000000001</v>
      </c>
      <c r="AW25" s="129">
        <f t="shared" si="45"/>
        <v>8</v>
      </c>
      <c r="AX25" s="65">
        <f t="shared" si="46"/>
        <v>0</v>
      </c>
      <c r="AY25" s="53">
        <f t="shared" si="47"/>
        <v>-2.6666666666666614E-4</v>
      </c>
      <c r="AZ25" s="53">
        <f t="shared" si="48"/>
        <v>1.7999999999999988E-2</v>
      </c>
      <c r="BA25" s="53">
        <f t="shared" si="49"/>
        <v>-2.3333333333333307E-2</v>
      </c>
      <c r="BB25" s="53">
        <f t="shared" si="50"/>
        <v>1.4000000000000001</v>
      </c>
      <c r="BG25" s="53">
        <f t="shared" si="51"/>
        <v>1.4792902284880913</v>
      </c>
      <c r="BH25" s="53">
        <f t="shared" si="52"/>
        <v>80</v>
      </c>
      <c r="BI25" s="53">
        <f t="shared" si="38"/>
        <v>0</v>
      </c>
      <c r="BJ25" s="53">
        <f t="shared" si="39"/>
        <v>-0.77783179387449297</v>
      </c>
      <c r="BK25" s="53">
        <f t="shared" si="40"/>
        <v>6.514341273699233</v>
      </c>
      <c r="BL25" s="53">
        <f t="shared" si="41"/>
        <v>-8.8983957219247003</v>
      </c>
      <c r="BM25" s="53">
        <f t="shared" si="42"/>
        <v>4.6411764705880518</v>
      </c>
    </row>
    <row r="26" spans="1:66" x14ac:dyDescent="0.25">
      <c r="AJ26" s="140"/>
      <c r="AL26" s="139">
        <f t="shared" si="32"/>
        <v>92.953125000000014</v>
      </c>
      <c r="AM26" s="129">
        <f t="shared" si="43"/>
        <v>50</v>
      </c>
      <c r="AN26" s="65">
        <f t="shared" si="33"/>
        <v>0</v>
      </c>
      <c r="AO26" s="65">
        <f t="shared" si="34"/>
        <v>-3.2552083333333157</v>
      </c>
      <c r="AP26" s="65">
        <f t="shared" si="35"/>
        <v>15.624999999999931</v>
      </c>
      <c r="AQ26" s="65">
        <f t="shared" si="36"/>
        <v>4.5833333333333979</v>
      </c>
      <c r="AR26" s="65">
        <f t="shared" si="37"/>
        <v>76</v>
      </c>
      <c r="AV26" s="139">
        <f t="shared" si="44"/>
        <v>1.3984375000000002</v>
      </c>
      <c r="AW26" s="129">
        <f t="shared" si="45"/>
        <v>10</v>
      </c>
      <c r="AX26" s="65">
        <f t="shared" si="46"/>
        <v>0</v>
      </c>
      <c r="AY26" s="53">
        <f t="shared" si="47"/>
        <v>-5.2083333333333235E-4</v>
      </c>
      <c r="AZ26" s="53">
        <f t="shared" si="48"/>
        <v>2.8124999999999983E-2</v>
      </c>
      <c r="BA26" s="53">
        <f t="shared" si="49"/>
        <v>-2.9166666666666632E-2</v>
      </c>
      <c r="BB26" s="53">
        <f t="shared" si="50"/>
        <v>1.4000000000000001</v>
      </c>
      <c r="BG26" s="53">
        <f t="shared" si="51"/>
        <v>1.5024018595041344</v>
      </c>
      <c r="BH26" s="53">
        <f t="shared" si="52"/>
        <v>81</v>
      </c>
      <c r="BI26" s="53">
        <f t="shared" si="38"/>
        <v>0</v>
      </c>
      <c r="BJ26" s="53">
        <f t="shared" si="39"/>
        <v>-0.80736661400088749</v>
      </c>
      <c r="BK26" s="53">
        <f t="shared" si="40"/>
        <v>6.6782176713657293</v>
      </c>
      <c r="BL26" s="53">
        <f t="shared" si="41"/>
        <v>-9.0096256684487592</v>
      </c>
      <c r="BM26" s="53">
        <f t="shared" si="42"/>
        <v>4.6411764705880518</v>
      </c>
    </row>
    <row r="27" spans="1:66" x14ac:dyDescent="0.25">
      <c r="AL27" s="139">
        <f t="shared" si="32"/>
        <v>94.00500000000001</v>
      </c>
      <c r="AM27" s="129">
        <f t="shared" si="43"/>
        <v>52</v>
      </c>
      <c r="AN27" s="65">
        <f t="shared" si="33"/>
        <v>0</v>
      </c>
      <c r="AO27" s="65">
        <f t="shared" si="34"/>
        <v>-3.6616666666666471</v>
      </c>
      <c r="AP27" s="65">
        <f t="shared" si="35"/>
        <v>16.899999999999928</v>
      </c>
      <c r="AQ27" s="65">
        <f t="shared" si="36"/>
        <v>4.7666666666667332</v>
      </c>
      <c r="AR27" s="65">
        <f t="shared" si="37"/>
        <v>76</v>
      </c>
      <c r="AV27" s="139">
        <f t="shared" si="44"/>
        <v>1.4046000000000001</v>
      </c>
      <c r="AW27" s="129">
        <f t="shared" si="45"/>
        <v>12</v>
      </c>
      <c r="AX27" s="65">
        <f t="shared" si="46"/>
        <v>0</v>
      </c>
      <c r="AY27" s="53">
        <f t="shared" si="47"/>
        <v>-8.9999999999999824E-4</v>
      </c>
      <c r="AZ27" s="53">
        <f t="shared" si="48"/>
        <v>4.0499999999999974E-2</v>
      </c>
      <c r="BA27" s="53">
        <f t="shared" si="49"/>
        <v>-3.4999999999999962E-2</v>
      </c>
      <c r="BB27" s="53">
        <f t="shared" si="50"/>
        <v>1.4000000000000001</v>
      </c>
      <c r="BG27" s="53">
        <f t="shared" si="51"/>
        <v>1.526810889645116</v>
      </c>
      <c r="BH27" s="53">
        <f t="shared" si="52"/>
        <v>82</v>
      </c>
      <c r="BI27" s="53">
        <f t="shared" si="38"/>
        <v>0</v>
      </c>
      <c r="BJ27" s="53">
        <f t="shared" si="39"/>
        <v>-0.83763976665037387</v>
      </c>
      <c r="BK27" s="53">
        <f t="shared" si="40"/>
        <v>6.844129800680256</v>
      </c>
      <c r="BL27" s="53">
        <f t="shared" si="41"/>
        <v>-9.1208556149728182</v>
      </c>
      <c r="BM27" s="53">
        <f t="shared" si="42"/>
        <v>4.6411764705880518</v>
      </c>
    </row>
    <row r="28" spans="1:66" x14ac:dyDescent="0.25">
      <c r="AL28" s="139">
        <f t="shared" si="32"/>
        <v>95.074375000000003</v>
      </c>
      <c r="AM28" s="129">
        <f t="shared" si="43"/>
        <v>54</v>
      </c>
      <c r="AN28" s="65">
        <f t="shared" si="33"/>
        <v>0</v>
      </c>
      <c r="AO28" s="65">
        <f t="shared" si="34"/>
        <v>-4.1006249999999778</v>
      </c>
      <c r="AP28" s="65">
        <f t="shared" si="35"/>
        <v>18.22499999999992</v>
      </c>
      <c r="AQ28" s="65">
        <f t="shared" si="36"/>
        <v>4.9500000000000695</v>
      </c>
      <c r="AR28" s="65">
        <f t="shared" si="37"/>
        <v>76</v>
      </c>
      <c r="AV28" s="139">
        <f t="shared" si="44"/>
        <v>1.4128625000000001</v>
      </c>
      <c r="AW28" s="129">
        <f t="shared" si="45"/>
        <v>14</v>
      </c>
      <c r="AX28" s="65">
        <f t="shared" si="46"/>
        <v>0</v>
      </c>
      <c r="AY28" s="53">
        <f t="shared" si="47"/>
        <v>-1.4291666666666639E-3</v>
      </c>
      <c r="AZ28" s="53">
        <f t="shared" si="48"/>
        <v>5.5124999999999966E-2</v>
      </c>
      <c r="BA28" s="53">
        <f t="shared" si="49"/>
        <v>-4.0833333333333284E-2</v>
      </c>
      <c r="BB28" s="53">
        <f t="shared" si="50"/>
        <v>1.4000000000000001</v>
      </c>
      <c r="BG28" s="53">
        <f t="shared" si="51"/>
        <v>1.5525082036947033</v>
      </c>
      <c r="BH28" s="53">
        <f t="shared" si="52"/>
        <v>83</v>
      </c>
      <c r="BI28" s="53">
        <f t="shared" si="38"/>
        <v>0</v>
      </c>
      <c r="BJ28" s="53">
        <f t="shared" si="39"/>
        <v>-0.86866036703928651</v>
      </c>
      <c r="BK28" s="53">
        <f t="shared" si="40"/>
        <v>7.0120776616428149</v>
      </c>
      <c r="BL28" s="53">
        <f t="shared" si="41"/>
        <v>-9.2320855614968771</v>
      </c>
      <c r="BM28" s="53">
        <f t="shared" si="42"/>
        <v>4.6411764705880518</v>
      </c>
    </row>
    <row r="29" spans="1:66" x14ac:dyDescent="0.25">
      <c r="AL29" s="139">
        <f t="shared" si="32"/>
        <v>96.160000000000011</v>
      </c>
      <c r="AM29" s="129">
        <f t="shared" si="43"/>
        <v>56</v>
      </c>
      <c r="AN29" s="65">
        <f t="shared" si="33"/>
        <v>0</v>
      </c>
      <c r="AO29" s="65">
        <f t="shared" si="34"/>
        <v>-4.5733333333333084</v>
      </c>
      <c r="AP29" s="65">
        <f t="shared" si="35"/>
        <v>19.599999999999913</v>
      </c>
      <c r="AQ29" s="65">
        <f t="shared" si="36"/>
        <v>5.1333333333334057</v>
      </c>
      <c r="AR29" s="65">
        <f t="shared" si="37"/>
        <v>76</v>
      </c>
      <c r="AV29" s="139">
        <f t="shared" si="44"/>
        <v>1.4232000000000002</v>
      </c>
      <c r="AW29" s="129">
        <f t="shared" si="45"/>
        <v>16</v>
      </c>
      <c r="AX29" s="65">
        <f t="shared" si="46"/>
        <v>0</v>
      </c>
      <c r="AY29" s="53">
        <f t="shared" si="47"/>
        <v>-2.1333333333333291E-3</v>
      </c>
      <c r="AZ29" s="53">
        <f t="shared" si="48"/>
        <v>7.1999999999999953E-2</v>
      </c>
      <c r="BA29" s="53">
        <f t="shared" si="49"/>
        <v>-4.6666666666666613E-2</v>
      </c>
      <c r="BB29" s="53">
        <f t="shared" si="50"/>
        <v>1.4000000000000001</v>
      </c>
      <c r="BG29" s="53">
        <f t="shared" si="51"/>
        <v>1.5794846864365599</v>
      </c>
      <c r="BH29" s="53">
        <f t="shared" si="52"/>
        <v>84</v>
      </c>
      <c r="BI29" s="53">
        <f t="shared" si="38"/>
        <v>0</v>
      </c>
      <c r="BJ29" s="53">
        <f t="shared" si="39"/>
        <v>-0.90043753038395991</v>
      </c>
      <c r="BK29" s="53">
        <f t="shared" si="40"/>
        <v>7.1820612542534041</v>
      </c>
      <c r="BL29" s="53">
        <f t="shared" si="41"/>
        <v>-9.343315508020936</v>
      </c>
      <c r="BM29" s="53">
        <f t="shared" si="42"/>
        <v>4.6411764705880518</v>
      </c>
    </row>
    <row r="30" spans="1:66" x14ac:dyDescent="0.25">
      <c r="AL30" s="139">
        <f t="shared" si="32"/>
        <v>97.260625000000005</v>
      </c>
      <c r="AM30" s="129">
        <f t="shared" si="43"/>
        <v>58</v>
      </c>
      <c r="AN30" s="65">
        <f t="shared" si="33"/>
        <v>0</v>
      </c>
      <c r="AO30" s="65">
        <f t="shared" si="34"/>
        <v>-5.0810416666666391</v>
      </c>
      <c r="AP30" s="65">
        <f t="shared" si="35"/>
        <v>21.024999999999906</v>
      </c>
      <c r="AQ30" s="65">
        <f t="shared" si="36"/>
        <v>5.316666666666741</v>
      </c>
      <c r="AR30" s="65">
        <f t="shared" si="37"/>
        <v>76</v>
      </c>
      <c r="AV30" s="139">
        <f t="shared" si="44"/>
        <v>1.4355875000000002</v>
      </c>
      <c r="AW30" s="129">
        <f t="shared" si="45"/>
        <v>18</v>
      </c>
      <c r="AX30" s="65">
        <f t="shared" si="46"/>
        <v>0</v>
      </c>
      <c r="AY30" s="53">
        <f t="shared" si="47"/>
        <v>-3.0374999999999938E-3</v>
      </c>
      <c r="AZ30" s="53">
        <f t="shared" si="48"/>
        <v>9.1124999999999942E-2</v>
      </c>
      <c r="BA30" s="53">
        <f t="shared" si="49"/>
        <v>-5.2499999999999943E-2</v>
      </c>
      <c r="BB30" s="53">
        <f t="shared" si="50"/>
        <v>1.4000000000000001</v>
      </c>
      <c r="BG30" s="53">
        <f t="shared" si="51"/>
        <v>1.607731222654353</v>
      </c>
      <c r="BH30" s="53">
        <f t="shared" si="52"/>
        <v>85</v>
      </c>
      <c r="BI30" s="53">
        <f t="shared" si="38"/>
        <v>0</v>
      </c>
      <c r="BJ30" s="53">
        <f t="shared" si="39"/>
        <v>-0.93298037190072847</v>
      </c>
      <c r="BK30" s="53">
        <f t="shared" si="40"/>
        <v>7.3540805785120247</v>
      </c>
      <c r="BL30" s="53">
        <f t="shared" si="41"/>
        <v>-9.454545454544995</v>
      </c>
      <c r="BM30" s="53">
        <f t="shared" si="42"/>
        <v>4.6411764705880518</v>
      </c>
    </row>
    <row r="31" spans="1:66" x14ac:dyDescent="0.25">
      <c r="AL31" s="139">
        <f t="shared" si="32"/>
        <v>98.375</v>
      </c>
      <c r="AM31" s="129">
        <f t="shared" si="43"/>
        <v>60</v>
      </c>
      <c r="AN31" s="65">
        <f t="shared" si="33"/>
        <v>0</v>
      </c>
      <c r="AO31" s="65">
        <f t="shared" si="34"/>
        <v>-5.6249999999999698</v>
      </c>
      <c r="AP31" s="65">
        <f t="shared" si="35"/>
        <v>22.499999999999901</v>
      </c>
      <c r="AQ31" s="65">
        <f t="shared" si="36"/>
        <v>5.5000000000000773</v>
      </c>
      <c r="AR31" s="65">
        <f t="shared" si="37"/>
        <v>76</v>
      </c>
      <c r="AV31" s="139">
        <f t="shared" si="44"/>
        <v>1.4500000000000002</v>
      </c>
      <c r="AW31" s="129">
        <f t="shared" si="45"/>
        <v>20</v>
      </c>
      <c r="AX31" s="65">
        <f t="shared" si="46"/>
        <v>0</v>
      </c>
      <c r="AY31" s="53">
        <f t="shared" si="47"/>
        <v>-4.1666666666666588E-3</v>
      </c>
      <c r="AZ31" s="53">
        <f t="shared" si="48"/>
        <v>0.11249999999999993</v>
      </c>
      <c r="BA31" s="53">
        <f t="shared" si="49"/>
        <v>-5.8333333333333265E-2</v>
      </c>
      <c r="BB31" s="53">
        <f t="shared" si="50"/>
        <v>1.4000000000000001</v>
      </c>
      <c r="BG31" s="53">
        <f t="shared" si="51"/>
        <v>1.637238697131747</v>
      </c>
      <c r="BH31" s="53">
        <f t="shared" si="52"/>
        <v>86</v>
      </c>
      <c r="BI31" s="53">
        <f t="shared" si="38"/>
        <v>0</v>
      </c>
      <c r="BJ31" s="53">
        <f t="shared" si="39"/>
        <v>-0.9662980068059267</v>
      </c>
      <c r="BK31" s="53">
        <f t="shared" si="40"/>
        <v>7.5281356344186756</v>
      </c>
      <c r="BL31" s="53">
        <f t="shared" si="41"/>
        <v>-9.5657754010690539</v>
      </c>
      <c r="BM31" s="53">
        <f t="shared" si="42"/>
        <v>4.6411764705880518</v>
      </c>
    </row>
    <row r="32" spans="1:66" x14ac:dyDescent="0.25">
      <c r="AJ32" s="131"/>
      <c r="AL32" s="139">
        <f t="shared" si="32"/>
        <v>99.501875000000013</v>
      </c>
      <c r="AM32" s="129">
        <f t="shared" si="43"/>
        <v>62</v>
      </c>
      <c r="AN32" s="65">
        <f t="shared" si="33"/>
        <v>0</v>
      </c>
      <c r="AO32" s="65">
        <f t="shared" si="34"/>
        <v>-6.2064583333333001</v>
      </c>
      <c r="AP32" s="65">
        <f t="shared" si="35"/>
        <v>24.024999999999896</v>
      </c>
      <c r="AQ32" s="65">
        <f t="shared" si="36"/>
        <v>5.6833333333334126</v>
      </c>
      <c r="AR32" s="65">
        <f t="shared" si="37"/>
        <v>76</v>
      </c>
      <c r="AV32" s="139">
        <f t="shared" si="44"/>
        <v>1.4664125000000001</v>
      </c>
      <c r="AW32" s="129">
        <f t="shared" si="45"/>
        <v>22</v>
      </c>
      <c r="AX32" s="65">
        <f t="shared" si="46"/>
        <v>0</v>
      </c>
      <c r="AY32" s="53">
        <f t="shared" si="47"/>
        <v>-5.5458333333333219E-3</v>
      </c>
      <c r="AZ32" s="53">
        <f t="shared" si="48"/>
        <v>0.13612499999999991</v>
      </c>
      <c r="BA32" s="53">
        <f t="shared" si="49"/>
        <v>-6.4166666666666594E-2</v>
      </c>
      <c r="BB32" s="53">
        <f t="shared" si="50"/>
        <v>1.4000000000000001</v>
      </c>
      <c r="BG32" s="53">
        <f t="shared" si="51"/>
        <v>1.6679979946524082</v>
      </c>
      <c r="BH32" s="53">
        <f t="shared" si="52"/>
        <v>87</v>
      </c>
      <c r="BI32" s="53">
        <f t="shared" si="38"/>
        <v>0</v>
      </c>
      <c r="BJ32" s="53">
        <f t="shared" si="39"/>
        <v>-1.0003995503158891</v>
      </c>
      <c r="BK32" s="53">
        <f t="shared" si="40"/>
        <v>7.7042264219733578</v>
      </c>
      <c r="BL32" s="53">
        <f t="shared" si="41"/>
        <v>-9.6770053475931128</v>
      </c>
      <c r="BM32" s="53">
        <f t="shared" si="42"/>
        <v>4.6411764705880518</v>
      </c>
    </row>
    <row r="33" spans="1:65" x14ac:dyDescent="0.25">
      <c r="AJ33" s="131"/>
      <c r="AL33" s="139">
        <f t="shared" si="32"/>
        <v>100.64000000000001</v>
      </c>
      <c r="AM33" s="129">
        <f t="shared" si="43"/>
        <v>64</v>
      </c>
      <c r="AN33" s="65">
        <f t="shared" si="33"/>
        <v>0</v>
      </c>
      <c r="AO33" s="65">
        <f t="shared" si="34"/>
        <v>-6.8266666666666298</v>
      </c>
      <c r="AP33" s="65">
        <f t="shared" si="35"/>
        <v>25.599999999999888</v>
      </c>
      <c r="AQ33" s="65">
        <f t="shared" si="36"/>
        <v>5.8666666666667489</v>
      </c>
      <c r="AR33" s="65">
        <f t="shared" si="37"/>
        <v>76</v>
      </c>
      <c r="AV33" s="139">
        <f t="shared" si="44"/>
        <v>1.4848000000000001</v>
      </c>
      <c r="AW33" s="129">
        <f t="shared" si="45"/>
        <v>24</v>
      </c>
      <c r="AX33" s="65">
        <f t="shared" si="46"/>
        <v>0</v>
      </c>
      <c r="AY33" s="53">
        <f t="shared" si="47"/>
        <v>-7.1999999999999859E-3</v>
      </c>
      <c r="AZ33" s="53">
        <f t="shared" si="48"/>
        <v>0.16199999999999989</v>
      </c>
      <c r="BA33" s="53">
        <f t="shared" si="49"/>
        <v>-6.9999999999999923E-2</v>
      </c>
      <c r="BB33" s="53">
        <f t="shared" si="50"/>
        <v>1.4000000000000001</v>
      </c>
      <c r="BG33" s="53">
        <f t="shared" si="51"/>
        <v>1.7000000000000011</v>
      </c>
      <c r="BH33" s="53">
        <f t="shared" si="52"/>
        <v>88</v>
      </c>
      <c r="BI33" s="53">
        <f t="shared" si="38"/>
        <v>0</v>
      </c>
      <c r="BJ33" s="53">
        <f t="shared" si="39"/>
        <v>-1.0352941176469501</v>
      </c>
      <c r="BK33" s="53">
        <f t="shared" si="40"/>
        <v>7.8823529411760713</v>
      </c>
      <c r="BL33" s="53">
        <f t="shared" si="41"/>
        <v>-9.7882352941171717</v>
      </c>
      <c r="BM33" s="53">
        <f t="shared" si="42"/>
        <v>4.6411764705880518</v>
      </c>
    </row>
    <row r="34" spans="1:65" x14ac:dyDescent="0.25">
      <c r="AJ34" s="131"/>
      <c r="AL34" s="139">
        <f t="shared" si="32"/>
        <v>101.78812500000001</v>
      </c>
      <c r="AM34" s="129">
        <f t="shared" si="43"/>
        <v>66</v>
      </c>
      <c r="AN34" s="65">
        <f t="shared" si="33"/>
        <v>0</v>
      </c>
      <c r="AO34" s="65">
        <f t="shared" si="34"/>
        <v>-7.4868749999999595</v>
      </c>
      <c r="AP34" s="65">
        <f t="shared" si="35"/>
        <v>27.224999999999881</v>
      </c>
      <c r="AQ34" s="65">
        <f t="shared" si="36"/>
        <v>6.0500000000000851</v>
      </c>
      <c r="AR34" s="65">
        <f t="shared" si="37"/>
        <v>76</v>
      </c>
      <c r="AV34" s="139">
        <f t="shared" si="44"/>
        <v>1.5051375</v>
      </c>
      <c r="AW34" s="129">
        <f t="shared" si="45"/>
        <v>26</v>
      </c>
      <c r="AX34" s="65">
        <f t="shared" si="46"/>
        <v>0</v>
      </c>
      <c r="AY34" s="53">
        <f t="shared" si="47"/>
        <v>-9.154166666666649E-3</v>
      </c>
      <c r="AZ34" s="53">
        <f t="shared" si="48"/>
        <v>0.19012499999999988</v>
      </c>
      <c r="BA34" s="53">
        <f t="shared" si="49"/>
        <v>-7.5833333333333253E-2</v>
      </c>
      <c r="BB34" s="53">
        <f t="shared" si="50"/>
        <v>1.4000000000000001</v>
      </c>
      <c r="BG34" s="53">
        <f t="shared" si="51"/>
        <v>1.7332355979581919</v>
      </c>
      <c r="BH34" s="53">
        <f t="shared" si="52"/>
        <v>89</v>
      </c>
      <c r="BI34" s="53">
        <f t="shared" si="38"/>
        <v>0</v>
      </c>
      <c r="BJ34" s="53">
        <f t="shared" si="39"/>
        <v>-1.0709908240154442</v>
      </c>
      <c r="BK34" s="53">
        <f t="shared" si="40"/>
        <v>8.0625151920268152</v>
      </c>
      <c r="BL34" s="53">
        <f t="shared" si="41"/>
        <v>-9.8994652406412307</v>
      </c>
      <c r="BM34" s="53">
        <f t="shared" si="42"/>
        <v>4.6411764705880518</v>
      </c>
    </row>
    <row r="35" spans="1:65" x14ac:dyDescent="0.25">
      <c r="AJ35" s="131"/>
      <c r="AL35" s="139">
        <f t="shared" si="32"/>
        <v>102.94500000000001</v>
      </c>
      <c r="AM35" s="129">
        <f t="shared" si="43"/>
        <v>68</v>
      </c>
      <c r="AN35" s="65">
        <f t="shared" si="33"/>
        <v>0</v>
      </c>
      <c r="AO35" s="65">
        <f t="shared" si="34"/>
        <v>-8.1883333333332899</v>
      </c>
      <c r="AP35" s="65">
        <f t="shared" si="35"/>
        <v>28.899999999999874</v>
      </c>
      <c r="AQ35" s="65">
        <f t="shared" si="36"/>
        <v>6.2333333333334204</v>
      </c>
      <c r="AR35" s="65">
        <f t="shared" si="37"/>
        <v>76</v>
      </c>
      <c r="AV35" s="139">
        <f t="shared" si="44"/>
        <v>1.5274000000000001</v>
      </c>
      <c r="AW35" s="129">
        <f t="shared" si="45"/>
        <v>28</v>
      </c>
      <c r="AX35" s="65">
        <f t="shared" si="46"/>
        <v>0</v>
      </c>
      <c r="AY35" s="53">
        <f t="shared" si="47"/>
        <v>-1.1433333333333311E-2</v>
      </c>
      <c r="AZ35" s="53">
        <f t="shared" si="48"/>
        <v>0.22049999999999986</v>
      </c>
      <c r="BA35" s="53">
        <f t="shared" si="49"/>
        <v>-8.1666666666666568E-2</v>
      </c>
      <c r="BB35" s="53">
        <f t="shared" si="50"/>
        <v>1.4000000000000001</v>
      </c>
      <c r="BG35" s="53">
        <f t="shared" si="51"/>
        <v>1.7676956733106479</v>
      </c>
      <c r="BH35" s="53">
        <f t="shared" si="52"/>
        <v>90</v>
      </c>
      <c r="BI35" s="53">
        <f t="shared" si="38"/>
        <v>0</v>
      </c>
      <c r="BJ35" s="53">
        <f t="shared" si="39"/>
        <v>-1.1074987846377058</v>
      </c>
      <c r="BK35" s="53">
        <f t="shared" si="40"/>
        <v>8.2447131745255913</v>
      </c>
      <c r="BL35" s="53">
        <f t="shared" si="41"/>
        <v>-10.01069518716529</v>
      </c>
      <c r="BM35" s="53">
        <f t="shared" si="42"/>
        <v>4.6411764705880518</v>
      </c>
    </row>
    <row r="36" spans="1:65" x14ac:dyDescent="0.25">
      <c r="AJ36" s="131"/>
      <c r="AL36" s="139">
        <f t="shared" si="32"/>
        <v>104.109375</v>
      </c>
      <c r="AM36" s="129">
        <f t="shared" si="43"/>
        <v>70</v>
      </c>
      <c r="AN36" s="65">
        <f t="shared" si="33"/>
        <v>0</v>
      </c>
      <c r="AO36" s="65">
        <f t="shared" si="34"/>
        <v>-8.9322916666666181</v>
      </c>
      <c r="AP36" s="65">
        <f t="shared" si="35"/>
        <v>30.624999999999865</v>
      </c>
      <c r="AQ36" s="65">
        <f t="shared" si="36"/>
        <v>6.4166666666667567</v>
      </c>
      <c r="AR36" s="65">
        <f t="shared" si="37"/>
        <v>76</v>
      </c>
      <c r="AV36" s="139">
        <f t="shared" si="44"/>
        <v>1.5515625000000002</v>
      </c>
      <c r="AW36" s="129">
        <f t="shared" si="45"/>
        <v>30</v>
      </c>
      <c r="AX36" s="65">
        <f t="shared" si="46"/>
        <v>0</v>
      </c>
      <c r="AY36" s="53">
        <f t="shared" si="47"/>
        <v>-1.4062499999999973E-2</v>
      </c>
      <c r="AZ36" s="53">
        <f t="shared" si="48"/>
        <v>0.25312499999999982</v>
      </c>
      <c r="BA36" s="53">
        <f t="shared" si="49"/>
        <v>-8.7499999999999897E-2</v>
      </c>
      <c r="BB36" s="53">
        <f t="shared" si="50"/>
        <v>1.4000000000000001</v>
      </c>
      <c r="BG36" s="53">
        <f t="shared" si="51"/>
        <v>1.8033711108410335</v>
      </c>
      <c r="BH36" s="53">
        <f t="shared" si="52"/>
        <v>91</v>
      </c>
      <c r="BI36" s="53">
        <f t="shared" si="38"/>
        <v>0</v>
      </c>
      <c r="BJ36" s="53">
        <f t="shared" si="39"/>
        <v>-1.1448271147300693</v>
      </c>
      <c r="BK36" s="53">
        <f t="shared" si="40"/>
        <v>8.4289468886723977</v>
      </c>
      <c r="BL36" s="53">
        <f t="shared" si="41"/>
        <v>-10.121925133689347</v>
      </c>
      <c r="BM36" s="53">
        <f t="shared" si="42"/>
        <v>4.6411764705880518</v>
      </c>
    </row>
    <row r="37" spans="1:65" x14ac:dyDescent="0.25">
      <c r="AJ37" s="131"/>
      <c r="AL37" s="139">
        <f t="shared" si="32"/>
        <v>105.28</v>
      </c>
      <c r="AM37" s="129">
        <f t="shared" si="43"/>
        <v>72</v>
      </c>
      <c r="AN37" s="65">
        <f t="shared" si="33"/>
        <v>0</v>
      </c>
      <c r="AO37" s="65">
        <f t="shared" si="34"/>
        <v>-9.7199999999999473</v>
      </c>
      <c r="AP37" s="65">
        <f t="shared" si="35"/>
        <v>32.399999999999856</v>
      </c>
      <c r="AQ37" s="65">
        <f t="shared" si="36"/>
        <v>6.600000000000092</v>
      </c>
      <c r="AR37" s="65">
        <f t="shared" si="37"/>
        <v>76</v>
      </c>
      <c r="AV37" s="139">
        <f t="shared" ref="AV37:AV114" si="53">AX37+AY37+AZ37+BA37+BB37</f>
        <v>1.5776000000000001</v>
      </c>
      <c r="AW37" s="129">
        <f t="shared" ref="AW37:AW114" si="54">AW36+2</f>
        <v>32</v>
      </c>
      <c r="AX37" s="65">
        <f t="shared" si="46"/>
        <v>0</v>
      </c>
      <c r="AY37" s="53">
        <f t="shared" ref="AY37:AY114" si="55">AW37*AW37*AW37*$AW$19</f>
        <v>-1.7066666666666633E-2</v>
      </c>
      <c r="AZ37" s="53">
        <f t="shared" ref="AZ37:AZ114" si="56">AW37*AW37*$AX$19</f>
        <v>0.28799999999999981</v>
      </c>
      <c r="BA37" s="53">
        <f t="shared" ref="BA37:BA114" si="57">AW37*$AY$19</f>
        <v>-9.3333333333333227E-2</v>
      </c>
      <c r="BB37" s="53">
        <f t="shared" si="50"/>
        <v>1.4000000000000001</v>
      </c>
      <c r="BG37" s="53">
        <f t="shared" si="51"/>
        <v>1.8402527953330114</v>
      </c>
      <c r="BH37" s="53">
        <f t="shared" si="52"/>
        <v>92</v>
      </c>
      <c r="BI37" s="53">
        <f t="shared" si="38"/>
        <v>0</v>
      </c>
      <c r="BJ37" s="53">
        <f t="shared" si="39"/>
        <v>-1.1829849295088695</v>
      </c>
      <c r="BK37" s="53">
        <f t="shared" si="40"/>
        <v>8.6152163344672346</v>
      </c>
      <c r="BL37" s="53">
        <f t="shared" si="41"/>
        <v>-10.233155080213406</v>
      </c>
      <c r="BM37" s="53">
        <f t="shared" si="42"/>
        <v>4.6411764705880518</v>
      </c>
    </row>
    <row r="38" spans="1:65" x14ac:dyDescent="0.25">
      <c r="AL38" s="139">
        <f t="shared" si="32"/>
        <v>106.455625</v>
      </c>
      <c r="AM38" s="129">
        <f t="shared" si="43"/>
        <v>74</v>
      </c>
      <c r="AN38" s="65">
        <f t="shared" si="33"/>
        <v>0</v>
      </c>
      <c r="AO38" s="65">
        <f t="shared" si="34"/>
        <v>-10.552708333333277</v>
      </c>
      <c r="AP38" s="65">
        <f t="shared" si="35"/>
        <v>34.224999999999852</v>
      </c>
      <c r="AQ38" s="65">
        <f t="shared" si="36"/>
        <v>6.7833333333334283</v>
      </c>
      <c r="AR38" s="65">
        <f t="shared" si="37"/>
        <v>76</v>
      </c>
      <c r="AV38" s="139">
        <f t="shared" si="53"/>
        <v>1.6054875000000002</v>
      </c>
      <c r="AW38" s="129">
        <f t="shared" si="54"/>
        <v>34</v>
      </c>
      <c r="AX38" s="65">
        <f t="shared" si="46"/>
        <v>0</v>
      </c>
      <c r="AY38" s="53">
        <f t="shared" si="55"/>
        <v>-2.0470833333333292E-2</v>
      </c>
      <c r="AZ38" s="53">
        <f t="shared" si="56"/>
        <v>0.32512499999999978</v>
      </c>
      <c r="BA38" s="53">
        <f t="shared" si="57"/>
        <v>-9.9166666666666556E-2</v>
      </c>
      <c r="BB38" s="53">
        <f t="shared" si="50"/>
        <v>1.4000000000000001</v>
      </c>
      <c r="BG38" s="53">
        <f t="shared" si="51"/>
        <v>1.8783316115702506</v>
      </c>
      <c r="BH38" s="53">
        <f t="shared" si="52"/>
        <v>93</v>
      </c>
      <c r="BI38" s="53">
        <f t="shared" si="38"/>
        <v>0</v>
      </c>
      <c r="BJ38" s="53">
        <f t="shared" si="39"/>
        <v>-1.2219813441904404</v>
      </c>
      <c r="BK38" s="53">
        <f t="shared" si="40"/>
        <v>8.8035215119101036</v>
      </c>
      <c r="BL38" s="53">
        <f t="shared" si="41"/>
        <v>-10.344385026737465</v>
      </c>
      <c r="BM38" s="53">
        <f t="shared" si="42"/>
        <v>4.6411764705880518</v>
      </c>
    </row>
    <row r="39" spans="1:65" x14ac:dyDescent="0.25">
      <c r="AL39" s="139">
        <f t="shared" si="32"/>
        <v>107.63500000000001</v>
      </c>
      <c r="AM39" s="129">
        <f t="shared" si="43"/>
        <v>76</v>
      </c>
      <c r="AN39" s="65">
        <f t="shared" si="33"/>
        <v>0</v>
      </c>
      <c r="AO39" s="65">
        <f t="shared" si="34"/>
        <v>-11.431666666666604</v>
      </c>
      <c r="AP39" s="65">
        <f t="shared" si="35"/>
        <v>36.099999999999845</v>
      </c>
      <c r="AQ39" s="65">
        <f t="shared" si="36"/>
        <v>6.9666666666667645</v>
      </c>
      <c r="AR39" s="65">
        <f t="shared" si="37"/>
        <v>76</v>
      </c>
      <c r="AV39" s="139">
        <f t="shared" si="53"/>
        <v>1.6352000000000002</v>
      </c>
      <c r="AW39" s="129">
        <f t="shared" si="54"/>
        <v>36</v>
      </c>
      <c r="AX39" s="65">
        <f t="shared" si="46"/>
        <v>0</v>
      </c>
      <c r="AY39" s="53">
        <f t="shared" si="55"/>
        <v>-2.429999999999995E-2</v>
      </c>
      <c r="AZ39" s="53">
        <f t="shared" si="56"/>
        <v>0.36449999999999977</v>
      </c>
      <c r="BA39" s="53">
        <f t="shared" si="57"/>
        <v>-0.10499999999999989</v>
      </c>
      <c r="BB39" s="53">
        <f t="shared" si="50"/>
        <v>1.4000000000000001</v>
      </c>
      <c r="BG39" s="53">
        <f t="shared" si="51"/>
        <v>1.9175984443364147</v>
      </c>
      <c r="BH39" s="53">
        <f t="shared" si="52"/>
        <v>94</v>
      </c>
      <c r="BI39" s="53">
        <f t="shared" si="38"/>
        <v>0</v>
      </c>
      <c r="BJ39" s="53">
        <f t="shared" si="39"/>
        <v>-1.2618254739911168</v>
      </c>
      <c r="BK39" s="53">
        <f t="shared" si="40"/>
        <v>8.993862421001003</v>
      </c>
      <c r="BL39" s="53">
        <f t="shared" si="41"/>
        <v>-10.455614973261524</v>
      </c>
      <c r="BM39" s="53">
        <f t="shared" si="42"/>
        <v>4.6411764705880518</v>
      </c>
    </row>
    <row r="40" spans="1:65" x14ac:dyDescent="0.25">
      <c r="AL40" s="139">
        <f t="shared" si="32"/>
        <v>108.81687500000001</v>
      </c>
      <c r="AM40" s="129">
        <f t="shared" si="43"/>
        <v>78</v>
      </c>
      <c r="AN40" s="65">
        <f t="shared" si="33"/>
        <v>0</v>
      </c>
      <c r="AO40" s="65">
        <f t="shared" si="34"/>
        <v>-12.358124999999934</v>
      </c>
      <c r="AP40" s="65">
        <f t="shared" si="35"/>
        <v>38.024999999999835</v>
      </c>
      <c r="AQ40" s="65">
        <f t="shared" si="36"/>
        <v>7.1500000000000998</v>
      </c>
      <c r="AR40" s="65">
        <f t="shared" si="37"/>
        <v>76</v>
      </c>
      <c r="AV40" s="139">
        <f t="shared" si="53"/>
        <v>1.6667125</v>
      </c>
      <c r="AW40" s="129">
        <f t="shared" si="54"/>
        <v>38</v>
      </c>
      <c r="AX40" s="65">
        <f t="shared" si="46"/>
        <v>0</v>
      </c>
      <c r="AY40" s="53">
        <f t="shared" si="55"/>
        <v>-2.857916666666661E-2</v>
      </c>
      <c r="AZ40" s="53">
        <f t="shared" si="56"/>
        <v>0.40612499999999974</v>
      </c>
      <c r="BA40" s="53">
        <f t="shared" si="57"/>
        <v>-0.1108333333333332</v>
      </c>
      <c r="BB40" s="53">
        <f t="shared" si="50"/>
        <v>1.4000000000000001</v>
      </c>
      <c r="BG40" s="53">
        <f t="shared" si="51"/>
        <v>1.958044178415169</v>
      </c>
      <c r="BH40" s="53">
        <f t="shared" si="52"/>
        <v>95</v>
      </c>
      <c r="BI40" s="53">
        <f t="shared" si="38"/>
        <v>0</v>
      </c>
      <c r="BJ40" s="53">
        <f t="shared" si="39"/>
        <v>-1.3025264341272331</v>
      </c>
      <c r="BK40" s="53">
        <f t="shared" si="40"/>
        <v>9.1862390617399328</v>
      </c>
      <c r="BL40" s="53">
        <f t="shared" si="41"/>
        <v>-10.566844919785582</v>
      </c>
      <c r="BM40" s="53">
        <f t="shared" si="42"/>
        <v>4.6411764705880518</v>
      </c>
    </row>
    <row r="41" spans="1:65" x14ac:dyDescent="0.25">
      <c r="AL41" s="139">
        <f t="shared" si="32"/>
        <v>110</v>
      </c>
      <c r="AM41" s="129">
        <f t="shared" si="43"/>
        <v>80</v>
      </c>
      <c r="AN41" s="65">
        <f t="shared" si="33"/>
        <v>0</v>
      </c>
      <c r="AO41" s="65">
        <f t="shared" si="34"/>
        <v>-13.333333333333261</v>
      </c>
      <c r="AP41" s="65">
        <f t="shared" si="35"/>
        <v>39.999999999999822</v>
      </c>
      <c r="AQ41" s="65">
        <f t="shared" si="36"/>
        <v>7.3333333333334361</v>
      </c>
      <c r="AR41" s="65">
        <f t="shared" si="37"/>
        <v>76</v>
      </c>
      <c r="AV41" s="139">
        <f t="shared" si="53"/>
        <v>1.7000000000000002</v>
      </c>
      <c r="AW41" s="129">
        <f t="shared" si="54"/>
        <v>40</v>
      </c>
      <c r="AX41" s="65">
        <f t="shared" si="46"/>
        <v>0</v>
      </c>
      <c r="AY41" s="53">
        <f t="shared" si="55"/>
        <v>-3.333333333333327E-2</v>
      </c>
      <c r="AZ41" s="53">
        <f t="shared" si="56"/>
        <v>0.44999999999999973</v>
      </c>
      <c r="BA41" s="53">
        <f t="shared" si="57"/>
        <v>-0.11666666666666653</v>
      </c>
      <c r="BB41" s="53">
        <f t="shared" si="50"/>
        <v>1.4000000000000001</v>
      </c>
      <c r="BG41" s="53">
        <f t="shared" si="51"/>
        <v>1.9996596985901807</v>
      </c>
      <c r="BH41" s="53">
        <f t="shared" si="52"/>
        <v>96</v>
      </c>
      <c r="BI41" s="53">
        <f t="shared" si="38"/>
        <v>0</v>
      </c>
      <c r="BJ41" s="53">
        <f t="shared" si="39"/>
        <v>-1.3440933398151238</v>
      </c>
      <c r="BK41" s="53">
        <f t="shared" si="40"/>
        <v>9.3806514341268947</v>
      </c>
      <c r="BL41" s="53">
        <f t="shared" si="41"/>
        <v>-10.678074866309641</v>
      </c>
      <c r="BM41" s="53">
        <f t="shared" si="42"/>
        <v>4.6411764705880518</v>
      </c>
    </row>
    <row r="42" spans="1:65" x14ac:dyDescent="0.25">
      <c r="AL42" s="139">
        <f t="shared" si="32"/>
        <v>111.18312499999999</v>
      </c>
      <c r="AM42" s="129">
        <f t="shared" si="43"/>
        <v>82</v>
      </c>
      <c r="AN42" s="65">
        <f t="shared" si="33"/>
        <v>0</v>
      </c>
      <c r="AO42" s="65">
        <f t="shared" si="34"/>
        <v>-14.358541666666589</v>
      </c>
      <c r="AP42" s="65">
        <f t="shared" si="35"/>
        <v>42.024999999999814</v>
      </c>
      <c r="AQ42" s="65">
        <f t="shared" si="36"/>
        <v>7.5166666666667723</v>
      </c>
      <c r="AR42" s="65">
        <f t="shared" si="37"/>
        <v>76</v>
      </c>
      <c r="AV42" s="139">
        <f t="shared" si="53"/>
        <v>1.7350375</v>
      </c>
      <c r="AW42" s="129">
        <f t="shared" si="54"/>
        <v>42</v>
      </c>
      <c r="AX42" s="65">
        <f t="shared" si="46"/>
        <v>0</v>
      </c>
      <c r="AY42" s="53">
        <f t="shared" si="55"/>
        <v>-3.858749999999992E-2</v>
      </c>
      <c r="AZ42" s="53">
        <f t="shared" si="56"/>
        <v>0.49612499999999965</v>
      </c>
      <c r="BA42" s="53">
        <f t="shared" si="57"/>
        <v>-0.12249999999999986</v>
      </c>
      <c r="BB42" s="53">
        <f t="shared" si="50"/>
        <v>1.4000000000000001</v>
      </c>
      <c r="BG42" s="53">
        <f t="shared" si="51"/>
        <v>2.042435889645116</v>
      </c>
      <c r="BH42" s="53">
        <f t="shared" si="52"/>
        <v>97</v>
      </c>
      <c r="BI42" s="53">
        <f t="shared" si="38"/>
        <v>0</v>
      </c>
      <c r="BJ42" s="53">
        <f t="shared" si="39"/>
        <v>-1.3865353062711232</v>
      </c>
      <c r="BK42" s="53">
        <f t="shared" si="40"/>
        <v>9.5770995381618871</v>
      </c>
      <c r="BL42" s="53">
        <f t="shared" si="41"/>
        <v>-10.7893048128337</v>
      </c>
      <c r="BM42" s="53">
        <f t="shared" si="42"/>
        <v>4.6411764705880518</v>
      </c>
    </row>
    <row r="43" spans="1:65" x14ac:dyDescent="0.25">
      <c r="AL43" s="139">
        <f t="shared" si="32"/>
        <v>112.36500000000001</v>
      </c>
      <c r="AM43" s="129">
        <f t="shared" si="43"/>
        <v>84</v>
      </c>
      <c r="AN43" s="65">
        <f t="shared" si="33"/>
        <v>0</v>
      </c>
      <c r="AO43" s="65">
        <f t="shared" si="34"/>
        <v>-15.434999999999917</v>
      </c>
      <c r="AP43" s="65">
        <f t="shared" si="35"/>
        <v>44.09999999999981</v>
      </c>
      <c r="AQ43" s="65">
        <f t="shared" si="36"/>
        <v>7.7000000000001076</v>
      </c>
      <c r="AR43" s="65">
        <f t="shared" si="37"/>
        <v>76</v>
      </c>
      <c r="AV43" s="139">
        <f t="shared" si="53"/>
        <v>1.7718</v>
      </c>
      <c r="AW43" s="129">
        <f t="shared" si="54"/>
        <v>44</v>
      </c>
      <c r="AX43" s="65">
        <f t="shared" si="46"/>
        <v>0</v>
      </c>
      <c r="AY43" s="53">
        <f t="shared" si="55"/>
        <v>-4.4366666666666575E-2</v>
      </c>
      <c r="AZ43" s="53">
        <f t="shared" si="56"/>
        <v>0.54449999999999965</v>
      </c>
      <c r="BA43" s="53">
        <f t="shared" si="57"/>
        <v>-0.12833333333333319</v>
      </c>
      <c r="BB43" s="53">
        <f t="shared" si="50"/>
        <v>1.4000000000000001</v>
      </c>
      <c r="BG43" s="53">
        <f t="shared" si="51"/>
        <v>2.0863636363636378</v>
      </c>
      <c r="BH43" s="53">
        <f t="shared" si="52"/>
        <v>98</v>
      </c>
      <c r="BI43" s="53">
        <f t="shared" si="38"/>
        <v>0</v>
      </c>
      <c r="BJ43" s="53">
        <f t="shared" si="39"/>
        <v>-1.429861448711566</v>
      </c>
      <c r="BK43" s="53">
        <f t="shared" si="40"/>
        <v>9.7755833738449116</v>
      </c>
      <c r="BL43" s="53">
        <f t="shared" si="41"/>
        <v>-10.900534759357759</v>
      </c>
      <c r="BM43" s="53">
        <f t="shared" si="42"/>
        <v>4.6411764705880518</v>
      </c>
    </row>
    <row r="44" spans="1:65" x14ac:dyDescent="0.25">
      <c r="AL44" s="139">
        <f t="shared" si="32"/>
        <v>113.544375</v>
      </c>
      <c r="AM44" s="129">
        <f t="shared" si="43"/>
        <v>86</v>
      </c>
      <c r="AN44" s="65">
        <f t="shared" si="33"/>
        <v>0</v>
      </c>
      <c r="AO44" s="65">
        <f t="shared" si="34"/>
        <v>-16.563958333333243</v>
      </c>
      <c r="AP44" s="65">
        <f t="shared" si="35"/>
        <v>46.224999999999795</v>
      </c>
      <c r="AQ44" s="65">
        <f t="shared" si="36"/>
        <v>7.8833333333334439</v>
      </c>
      <c r="AR44" s="65">
        <f t="shared" si="37"/>
        <v>76</v>
      </c>
      <c r="AV44" s="139">
        <f t="shared" si="53"/>
        <v>1.8102624999999999</v>
      </c>
      <c r="AW44" s="129">
        <f t="shared" si="54"/>
        <v>46</v>
      </c>
      <c r="AX44" s="65">
        <f t="shared" si="46"/>
        <v>0</v>
      </c>
      <c r="AY44" s="53">
        <f t="shared" si="55"/>
        <v>-5.0695833333333232E-2</v>
      </c>
      <c r="AZ44" s="53">
        <f t="shared" si="56"/>
        <v>0.59512499999999957</v>
      </c>
      <c r="BA44" s="53">
        <f t="shared" si="57"/>
        <v>-0.13416666666666652</v>
      </c>
      <c r="BB44" s="53">
        <f t="shared" si="50"/>
        <v>1.4000000000000001</v>
      </c>
      <c r="BG44" s="53">
        <f t="shared" si="51"/>
        <v>2.1314338235294112</v>
      </c>
      <c r="BH44" s="53">
        <f t="shared" si="52"/>
        <v>99</v>
      </c>
      <c r="BI44" s="53">
        <f t="shared" si="38"/>
        <v>0</v>
      </c>
      <c r="BJ44" s="53">
        <f t="shared" si="39"/>
        <v>-1.4740808823527864</v>
      </c>
      <c r="BK44" s="53">
        <f t="shared" si="40"/>
        <v>9.9761029411759647</v>
      </c>
      <c r="BL44" s="53">
        <f t="shared" si="41"/>
        <v>-11.011764705881818</v>
      </c>
      <c r="BM44" s="53">
        <f t="shared" si="42"/>
        <v>4.6411764705880518</v>
      </c>
    </row>
    <row r="45" spans="1:65" x14ac:dyDescent="0.25">
      <c r="AL45" s="139">
        <f t="shared" si="32"/>
        <v>114.72</v>
      </c>
      <c r="AM45" s="129">
        <f t="shared" si="43"/>
        <v>88</v>
      </c>
      <c r="AN45" s="65">
        <f t="shared" si="33"/>
        <v>0</v>
      </c>
      <c r="AO45" s="65">
        <f t="shared" si="34"/>
        <v>-17.74666666666657</v>
      </c>
      <c r="AP45" s="65">
        <f t="shared" si="35"/>
        <v>48.399999999999785</v>
      </c>
      <c r="AQ45" s="65">
        <f t="shared" si="36"/>
        <v>8.0666666666667801</v>
      </c>
      <c r="AR45" s="65">
        <f t="shared" si="37"/>
        <v>76</v>
      </c>
      <c r="AV45" s="139">
        <f t="shared" si="53"/>
        <v>1.8504</v>
      </c>
      <c r="AW45" s="129">
        <f t="shared" si="54"/>
        <v>48</v>
      </c>
      <c r="AX45" s="65">
        <f t="shared" si="46"/>
        <v>0</v>
      </c>
      <c r="AY45" s="53">
        <f t="shared" si="55"/>
        <v>-5.7599999999999887E-2</v>
      </c>
      <c r="AZ45" s="53">
        <f t="shared" si="56"/>
        <v>0.64799999999999958</v>
      </c>
      <c r="BA45" s="53">
        <f t="shared" si="57"/>
        <v>-0.13999999999999985</v>
      </c>
      <c r="BB45" s="53">
        <f t="shared" si="50"/>
        <v>1.4000000000000001</v>
      </c>
      <c r="BG45" s="53">
        <f t="shared" si="51"/>
        <v>2.1776373359261072</v>
      </c>
      <c r="BH45" s="53">
        <f t="shared" si="52"/>
        <v>100</v>
      </c>
      <c r="BI45" s="53">
        <f t="shared" si="38"/>
        <v>0</v>
      </c>
      <c r="BJ45" s="53">
        <f t="shared" si="39"/>
        <v>-1.5192027224111191</v>
      </c>
      <c r="BK45" s="53">
        <f t="shared" si="40"/>
        <v>10.178658240155052</v>
      </c>
      <c r="BL45" s="53">
        <f t="shared" si="41"/>
        <v>-11.122994652405877</v>
      </c>
      <c r="BM45" s="53">
        <f t="shared" si="42"/>
        <v>4.6411764705880518</v>
      </c>
    </row>
    <row r="46" spans="1:65" x14ac:dyDescent="0.25">
      <c r="AL46" s="139">
        <f t="shared" si="32"/>
        <v>115.890625</v>
      </c>
      <c r="AM46" s="129">
        <f t="shared" si="43"/>
        <v>90</v>
      </c>
      <c r="AN46" s="65">
        <f t="shared" si="33"/>
        <v>0</v>
      </c>
      <c r="AO46" s="65">
        <f t="shared" si="34"/>
        <v>-18.984374999999897</v>
      </c>
      <c r="AP46" s="65">
        <f t="shared" si="35"/>
        <v>50.62499999999978</v>
      </c>
      <c r="AQ46" s="65">
        <f t="shared" si="36"/>
        <v>8.2500000000001155</v>
      </c>
      <c r="AR46" s="65">
        <f t="shared" si="37"/>
        <v>76</v>
      </c>
      <c r="AV46" s="139">
        <f t="shared" si="53"/>
        <v>1.8921874999999999</v>
      </c>
      <c r="AW46" s="129">
        <f t="shared" si="54"/>
        <v>50</v>
      </c>
      <c r="AX46" s="65">
        <f t="shared" si="46"/>
        <v>0</v>
      </c>
      <c r="AY46" s="53">
        <f t="shared" si="55"/>
        <v>-6.5104166666666533E-2</v>
      </c>
      <c r="AZ46" s="53">
        <f t="shared" si="56"/>
        <v>0.70312499999999956</v>
      </c>
      <c r="BA46" s="53">
        <f t="shared" si="57"/>
        <v>-0.14583333333333318</v>
      </c>
      <c r="BB46" s="53">
        <f t="shared" si="50"/>
        <v>1.4000000000000001</v>
      </c>
      <c r="BG46" s="53">
        <f t="shared" si="51"/>
        <v>2.2249650583373857</v>
      </c>
      <c r="BH46" s="53">
        <f t="shared" si="52"/>
        <v>101</v>
      </c>
      <c r="BI46" s="53">
        <f t="shared" si="38"/>
        <v>0</v>
      </c>
      <c r="BJ46" s="53">
        <f t="shared" si="39"/>
        <v>-1.5652360841028983</v>
      </c>
      <c r="BK46" s="53">
        <f t="shared" si="40"/>
        <v>10.383249270782168</v>
      </c>
      <c r="BL46" s="53">
        <f t="shared" si="41"/>
        <v>-11.234224598929936</v>
      </c>
      <c r="BM46" s="53">
        <f t="shared" si="42"/>
        <v>4.6411764705880518</v>
      </c>
    </row>
    <row r="47" spans="1:65" x14ac:dyDescent="0.25">
      <c r="A47" s="185" t="s">
        <v>57</v>
      </c>
      <c r="B47" s="185"/>
      <c r="C47" s="185"/>
      <c r="AL47" s="139">
        <f t="shared" si="32"/>
        <v>117.05500000000001</v>
      </c>
      <c r="AM47" s="129">
        <f t="shared" si="43"/>
        <v>92</v>
      </c>
      <c r="AN47" s="65">
        <f t="shared" si="33"/>
        <v>0</v>
      </c>
      <c r="AO47" s="65">
        <f t="shared" si="34"/>
        <v>-20.278333333333222</v>
      </c>
      <c r="AP47" s="65">
        <f t="shared" si="35"/>
        <v>52.899999999999771</v>
      </c>
      <c r="AQ47" s="65">
        <f t="shared" si="36"/>
        <v>8.4333333333334508</v>
      </c>
      <c r="AR47" s="65">
        <f t="shared" si="37"/>
        <v>76</v>
      </c>
      <c r="AV47" s="139">
        <f t="shared" si="53"/>
        <v>1.9356</v>
      </c>
      <c r="AW47" s="129">
        <f t="shared" si="54"/>
        <v>52</v>
      </c>
      <c r="AX47" s="65">
        <f t="shared" si="46"/>
        <v>0</v>
      </c>
      <c r="AY47" s="53">
        <f t="shared" si="55"/>
        <v>-7.3233333333333192E-2</v>
      </c>
      <c r="AZ47" s="53">
        <f t="shared" si="56"/>
        <v>0.76049999999999951</v>
      </c>
      <c r="BA47" s="53">
        <f t="shared" si="57"/>
        <v>-0.15166666666666651</v>
      </c>
      <c r="BB47" s="53">
        <f t="shared" si="50"/>
        <v>1.4000000000000001</v>
      </c>
      <c r="BG47" s="53">
        <f t="shared" si="51"/>
        <v>2.2734078755469156</v>
      </c>
      <c r="BH47" s="53">
        <f t="shared" si="52"/>
        <v>102</v>
      </c>
      <c r="BI47" s="53">
        <f t="shared" si="38"/>
        <v>0</v>
      </c>
      <c r="BJ47" s="53">
        <f t="shared" si="39"/>
        <v>-1.6121900826444588</v>
      </c>
      <c r="BK47" s="53">
        <f t="shared" si="40"/>
        <v>10.589876033057315</v>
      </c>
      <c r="BL47" s="53">
        <f t="shared" si="41"/>
        <v>-11.345454545453993</v>
      </c>
      <c r="BM47" s="53">
        <f t="shared" si="42"/>
        <v>4.6411764705880518</v>
      </c>
    </row>
    <row r="48" spans="1:65" x14ac:dyDescent="0.25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L48" s="139">
        <f t="shared" si="32"/>
        <v>118.21187499999999</v>
      </c>
      <c r="AM48" s="129">
        <f t="shared" si="43"/>
        <v>94</v>
      </c>
      <c r="AN48" s="65">
        <f t="shared" si="33"/>
        <v>0</v>
      </c>
      <c r="AO48" s="65">
        <f t="shared" si="34"/>
        <v>-21.629791666666549</v>
      </c>
      <c r="AP48" s="65">
        <f t="shared" si="35"/>
        <v>55.22499999999976</v>
      </c>
      <c r="AQ48" s="65">
        <f t="shared" si="36"/>
        <v>8.6166666666667879</v>
      </c>
      <c r="AR48" s="65">
        <f t="shared" si="37"/>
        <v>76</v>
      </c>
      <c r="AV48" s="139">
        <f t="shared" si="53"/>
        <v>1.9806124999999999</v>
      </c>
      <c r="AW48" s="129">
        <f t="shared" si="54"/>
        <v>54</v>
      </c>
      <c r="AX48" s="65">
        <f t="shared" si="46"/>
        <v>0</v>
      </c>
      <c r="AY48" s="53">
        <f t="shared" si="55"/>
        <v>-8.2012499999999836E-2</v>
      </c>
      <c r="AZ48" s="53">
        <f t="shared" si="56"/>
        <v>0.82012499999999944</v>
      </c>
      <c r="BA48" s="53">
        <f t="shared" si="57"/>
        <v>-0.15749999999999981</v>
      </c>
      <c r="BB48" s="53">
        <f t="shared" si="50"/>
        <v>1.4000000000000001</v>
      </c>
      <c r="BG48" s="53">
        <f t="shared" si="51"/>
        <v>2.3229566723383588</v>
      </c>
      <c r="BH48" s="53">
        <f t="shared" si="52"/>
        <v>103</v>
      </c>
      <c r="BI48" s="53">
        <f t="shared" si="38"/>
        <v>0</v>
      </c>
      <c r="BJ48" s="53">
        <f t="shared" si="39"/>
        <v>-1.6600738332521348</v>
      </c>
      <c r="BK48" s="53">
        <f t="shared" si="40"/>
        <v>10.798538526980494</v>
      </c>
      <c r="BL48" s="53">
        <f t="shared" si="41"/>
        <v>-11.456684491978052</v>
      </c>
      <c r="BM48" s="53">
        <f t="shared" si="42"/>
        <v>4.6411764705880518</v>
      </c>
    </row>
    <row r="49" spans="1:65" x14ac:dyDescent="0.25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L49" s="139">
        <f t="shared" si="32"/>
        <v>119.36</v>
      </c>
      <c r="AM49" s="129">
        <f t="shared" si="43"/>
        <v>96</v>
      </c>
      <c r="AN49" s="65">
        <f t="shared" si="33"/>
        <v>0</v>
      </c>
      <c r="AO49" s="65">
        <f t="shared" si="34"/>
        <v>-23.039999999999875</v>
      </c>
      <c r="AP49" s="65">
        <f t="shared" si="35"/>
        <v>57.599999999999746</v>
      </c>
      <c r="AQ49" s="65">
        <f t="shared" si="36"/>
        <v>8.8000000000001233</v>
      </c>
      <c r="AR49" s="65">
        <f t="shared" si="37"/>
        <v>76</v>
      </c>
      <c r="AV49" s="139">
        <f t="shared" si="53"/>
        <v>2.0272000000000001</v>
      </c>
      <c r="AW49" s="129">
        <f t="shared" si="54"/>
        <v>56</v>
      </c>
      <c r="AX49" s="65">
        <f t="shared" si="46"/>
        <v>0</v>
      </c>
      <c r="AY49" s="53">
        <f t="shared" si="55"/>
        <v>-9.1466666666666488E-2</v>
      </c>
      <c r="AZ49" s="53">
        <f t="shared" si="56"/>
        <v>0.88199999999999945</v>
      </c>
      <c r="BA49" s="53">
        <f t="shared" si="57"/>
        <v>-0.16333333333333314</v>
      </c>
      <c r="BB49" s="53">
        <f t="shared" si="50"/>
        <v>1.4000000000000001</v>
      </c>
      <c r="BG49" s="53">
        <f t="shared" si="51"/>
        <v>2.3736023334953824</v>
      </c>
      <c r="BH49" s="53">
        <f t="shared" si="52"/>
        <v>104</v>
      </c>
      <c r="BI49" s="53">
        <f t="shared" si="38"/>
        <v>0</v>
      </c>
      <c r="BJ49" s="53">
        <f t="shared" si="39"/>
        <v>-1.7088964511422611</v>
      </c>
      <c r="BK49" s="53">
        <f t="shared" si="40"/>
        <v>11.009236752551702</v>
      </c>
      <c r="BL49" s="53">
        <f t="shared" si="41"/>
        <v>-11.567914438502111</v>
      </c>
      <c r="BM49" s="53">
        <f t="shared" si="42"/>
        <v>4.6411764705880518</v>
      </c>
    </row>
    <row r="50" spans="1:65" x14ac:dyDescent="0.25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L50" s="139"/>
      <c r="AM50" s="129"/>
      <c r="AV50" s="139"/>
      <c r="AW50" s="129"/>
    </row>
    <row r="51" spans="1:65" x14ac:dyDescent="0.25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L51" s="139"/>
      <c r="AM51" s="129"/>
      <c r="AV51" s="139"/>
      <c r="AW51" s="129"/>
    </row>
    <row r="52" spans="1:65" x14ac:dyDescent="0.25">
      <c r="A52" s="65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L52" s="139"/>
      <c r="AM52" s="129"/>
      <c r="AV52" s="139"/>
      <c r="AW52" s="129"/>
    </row>
    <row r="53" spans="1:65" x14ac:dyDescent="0.25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L53" s="139"/>
      <c r="AM53" s="129"/>
      <c r="AV53" s="139"/>
      <c r="AW53" s="129"/>
    </row>
    <row r="54" spans="1:65" x14ac:dyDescent="0.25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L54" s="139"/>
      <c r="AM54" s="129"/>
      <c r="AV54" s="139"/>
      <c r="AW54" s="129"/>
    </row>
    <row r="55" spans="1:65" x14ac:dyDescent="0.25">
      <c r="A55" s="65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L55" s="139"/>
      <c r="AM55" s="129"/>
      <c r="AV55" s="139"/>
      <c r="AW55" s="129"/>
    </row>
    <row r="56" spans="1:65" x14ac:dyDescent="0.25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L56" s="139"/>
      <c r="AM56" s="129"/>
      <c r="AV56" s="139"/>
      <c r="AW56" s="129"/>
    </row>
    <row r="57" spans="1:65" x14ac:dyDescent="0.25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L57" s="139"/>
      <c r="AM57" s="129"/>
      <c r="AV57" s="139"/>
      <c r="AW57" s="129"/>
    </row>
    <row r="58" spans="1:65" x14ac:dyDescent="0.25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L58" s="139"/>
      <c r="AM58" s="129"/>
      <c r="AV58" s="139"/>
      <c r="AW58" s="129"/>
    </row>
    <row r="59" spans="1:65" x14ac:dyDescent="0.25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L59" s="139"/>
      <c r="AM59" s="129"/>
      <c r="AV59" s="139"/>
      <c r="AW59" s="129"/>
    </row>
    <row r="60" spans="1:65" x14ac:dyDescent="0.25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L60" s="139"/>
      <c r="AM60" s="129"/>
      <c r="AV60" s="139"/>
      <c r="AW60" s="129"/>
    </row>
    <row r="61" spans="1:65" x14ac:dyDescent="0.25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L61" s="139"/>
      <c r="AM61" s="129"/>
      <c r="AV61" s="139"/>
      <c r="AW61" s="129"/>
    </row>
    <row r="62" spans="1:65" x14ac:dyDescent="0.25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L62" s="139"/>
      <c r="AM62" s="129"/>
      <c r="AV62" s="139"/>
      <c r="AW62" s="129"/>
    </row>
    <row r="63" spans="1:65" x14ac:dyDescent="0.25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L63" s="139"/>
      <c r="AM63" s="129"/>
      <c r="AV63" s="139"/>
      <c r="AW63" s="129"/>
    </row>
    <row r="64" spans="1:65" x14ac:dyDescent="0.25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L64" s="139"/>
      <c r="AM64" s="129"/>
      <c r="AV64" s="139"/>
      <c r="AW64" s="129"/>
    </row>
    <row r="65" spans="1:65" x14ac:dyDescent="0.25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L65" s="139"/>
      <c r="AM65" s="129"/>
      <c r="AV65" s="139"/>
      <c r="AW65" s="129"/>
    </row>
    <row r="66" spans="1:65" x14ac:dyDescent="0.25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L66" s="139"/>
      <c r="AM66" s="129"/>
      <c r="AV66" s="139"/>
      <c r="AW66" s="129"/>
    </row>
    <row r="67" spans="1:65" x14ac:dyDescent="0.25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L67" s="139"/>
      <c r="AM67" s="129"/>
      <c r="AV67" s="139"/>
      <c r="AW67" s="129"/>
    </row>
    <row r="68" spans="1:65" x14ac:dyDescent="0.25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L68" s="139"/>
      <c r="AM68" s="129"/>
      <c r="AV68" s="139"/>
      <c r="AW68" s="129"/>
    </row>
    <row r="69" spans="1:65" x14ac:dyDescent="0.25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L69" s="139"/>
      <c r="AM69" s="129"/>
      <c r="AV69" s="139"/>
      <c r="AW69" s="129"/>
    </row>
    <row r="70" spans="1:65" x14ac:dyDescent="0.25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L70" s="139"/>
      <c r="AM70" s="129"/>
      <c r="AV70" s="139"/>
      <c r="AW70" s="129"/>
    </row>
    <row r="71" spans="1:65" x14ac:dyDescent="0.25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L71" s="139"/>
      <c r="AM71" s="129"/>
      <c r="AV71" s="139"/>
      <c r="AW71" s="129"/>
    </row>
    <row r="72" spans="1:65" x14ac:dyDescent="0.25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L72" s="139"/>
      <c r="AM72" s="129"/>
      <c r="AV72" s="139"/>
      <c r="AW72" s="129"/>
    </row>
    <row r="73" spans="1:65" x14ac:dyDescent="0.25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L73" s="139"/>
      <c r="AM73" s="129"/>
      <c r="AV73" s="139"/>
      <c r="AW73" s="129"/>
    </row>
    <row r="74" spans="1:65" x14ac:dyDescent="0.25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L74" s="139"/>
      <c r="AM74" s="129"/>
      <c r="AV74" s="139"/>
      <c r="AW74" s="129"/>
    </row>
    <row r="75" spans="1:65" x14ac:dyDescent="0.25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L75" s="139"/>
      <c r="AM75" s="129"/>
      <c r="AV75" s="139"/>
      <c r="AW75" s="129"/>
    </row>
    <row r="76" spans="1:65" x14ac:dyDescent="0.25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L76" s="139"/>
      <c r="AM76" s="129"/>
      <c r="AV76" s="139"/>
      <c r="AW76" s="129"/>
    </row>
    <row r="77" spans="1:65" x14ac:dyDescent="0.25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L77" s="139"/>
      <c r="AM77" s="129"/>
      <c r="AV77" s="139"/>
      <c r="AW77" s="129"/>
    </row>
    <row r="78" spans="1:65" x14ac:dyDescent="0.25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L78" s="139">
        <f t="shared" si="32"/>
        <v>120.498125</v>
      </c>
      <c r="AM78" s="129">
        <f>AM49+2</f>
        <v>98</v>
      </c>
      <c r="AN78" s="65">
        <f t="shared" si="33"/>
        <v>0</v>
      </c>
      <c r="AO78" s="65">
        <f t="shared" si="34"/>
        <v>-24.5102083333332</v>
      </c>
      <c r="AP78" s="65">
        <f t="shared" si="35"/>
        <v>60.024999999999736</v>
      </c>
      <c r="AQ78" s="65">
        <f t="shared" si="36"/>
        <v>8.9833333333334586</v>
      </c>
      <c r="AR78" s="65">
        <f t="shared" si="37"/>
        <v>76</v>
      </c>
      <c r="AV78" s="139">
        <f t="shared" si="53"/>
        <v>2.0753374999999998</v>
      </c>
      <c r="AW78" s="129">
        <f>AW49+2</f>
        <v>58</v>
      </c>
      <c r="AX78" s="65">
        <f t="shared" si="46"/>
        <v>0</v>
      </c>
      <c r="AY78" s="53">
        <f t="shared" si="55"/>
        <v>-0.10162083333333313</v>
      </c>
      <c r="AZ78" s="53">
        <f t="shared" si="56"/>
        <v>0.94612499999999933</v>
      </c>
      <c r="BA78" s="53">
        <f t="shared" si="57"/>
        <v>-0.16916666666666647</v>
      </c>
      <c r="BB78" s="53">
        <f t="shared" si="50"/>
        <v>1.4000000000000001</v>
      </c>
      <c r="BG78" s="53">
        <f t="shared" si="51"/>
        <v>2.4253357438016536</v>
      </c>
      <c r="BH78" s="53">
        <f>BH49+1</f>
        <v>105</v>
      </c>
      <c r="BI78" s="53">
        <f t="shared" si="38"/>
        <v>0</v>
      </c>
      <c r="BJ78" s="53">
        <f t="shared" si="39"/>
        <v>-1.7586670515311715</v>
      </c>
      <c r="BK78" s="53">
        <f t="shared" si="40"/>
        <v>11.221970709770943</v>
      </c>
      <c r="BL78" s="53">
        <f t="shared" si="41"/>
        <v>-11.67914438502617</v>
      </c>
      <c r="BM78" s="53">
        <f t="shared" si="42"/>
        <v>4.6411764705880518</v>
      </c>
    </row>
    <row r="79" spans="1:65" x14ac:dyDescent="0.25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L79" s="139">
        <f t="shared" si="32"/>
        <v>121.625</v>
      </c>
      <c r="AM79" s="129">
        <f t="shared" si="43"/>
        <v>100</v>
      </c>
      <c r="AN79" s="65">
        <f t="shared" si="33"/>
        <v>0</v>
      </c>
      <c r="AO79" s="65">
        <f t="shared" si="34"/>
        <v>-26.041666666666526</v>
      </c>
      <c r="AP79" s="65">
        <f t="shared" si="35"/>
        <v>62.499999999999723</v>
      </c>
      <c r="AQ79" s="65">
        <f t="shared" si="36"/>
        <v>9.1666666666667957</v>
      </c>
      <c r="AR79" s="65">
        <f t="shared" si="37"/>
        <v>76</v>
      </c>
      <c r="AV79" s="139">
        <f t="shared" si="53"/>
        <v>2.125</v>
      </c>
      <c r="AW79" s="129">
        <f t="shared" si="54"/>
        <v>60</v>
      </c>
      <c r="AX79" s="65">
        <f t="shared" si="46"/>
        <v>0</v>
      </c>
      <c r="AY79" s="53">
        <f t="shared" si="55"/>
        <v>-0.11249999999999978</v>
      </c>
      <c r="AZ79" s="53">
        <f t="shared" si="56"/>
        <v>1.0124999999999993</v>
      </c>
      <c r="BA79" s="53">
        <f t="shared" si="57"/>
        <v>-0.17499999999999979</v>
      </c>
      <c r="BB79" s="53">
        <f t="shared" si="50"/>
        <v>1.4000000000000001</v>
      </c>
      <c r="BG79" s="53">
        <f t="shared" si="51"/>
        <v>2.4781477880408378</v>
      </c>
      <c r="BH79" s="53">
        <f t="shared" si="52"/>
        <v>106</v>
      </c>
      <c r="BI79" s="53">
        <f t="shared" si="38"/>
        <v>0</v>
      </c>
      <c r="BJ79" s="53">
        <f t="shared" si="39"/>
        <v>-1.8093947496352014</v>
      </c>
      <c r="BK79" s="53">
        <f t="shared" si="40"/>
        <v>11.436740398638216</v>
      </c>
      <c r="BL79" s="53">
        <f t="shared" si="41"/>
        <v>-11.790374331550229</v>
      </c>
      <c r="BM79" s="53">
        <f t="shared" si="42"/>
        <v>4.6411764705880518</v>
      </c>
    </row>
    <row r="80" spans="1:65" x14ac:dyDescent="0.25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L80" s="139">
        <f t="shared" si="32"/>
        <v>122.739375</v>
      </c>
      <c r="AM80" s="129">
        <f t="shared" si="43"/>
        <v>102</v>
      </c>
      <c r="AN80" s="65">
        <f t="shared" si="33"/>
        <v>0</v>
      </c>
      <c r="AO80" s="65">
        <f t="shared" si="34"/>
        <v>-27.635624999999852</v>
      </c>
      <c r="AP80" s="65">
        <f t="shared" si="35"/>
        <v>65.024999999999721</v>
      </c>
      <c r="AQ80" s="65">
        <f t="shared" si="36"/>
        <v>9.3500000000001311</v>
      </c>
      <c r="AR80" s="65">
        <f t="shared" si="37"/>
        <v>76</v>
      </c>
      <c r="AV80" s="139">
        <f t="shared" si="53"/>
        <v>2.1761624999999998</v>
      </c>
      <c r="AW80" s="129">
        <f t="shared" si="54"/>
        <v>62</v>
      </c>
      <c r="AX80" s="65">
        <f t="shared" si="46"/>
        <v>0</v>
      </c>
      <c r="AY80" s="53">
        <f t="shared" si="55"/>
        <v>-0.12412916666666642</v>
      </c>
      <c r="AZ80" s="53">
        <f t="shared" si="56"/>
        <v>1.0811249999999992</v>
      </c>
      <c r="BA80" s="53">
        <f t="shared" si="57"/>
        <v>-0.18083333333333312</v>
      </c>
      <c r="BB80" s="53">
        <f t="shared" si="50"/>
        <v>1.4000000000000001</v>
      </c>
      <c r="BG80" s="53">
        <f t="shared" si="51"/>
        <v>2.5320293509965968</v>
      </c>
      <c r="BH80" s="53">
        <f t="shared" si="52"/>
        <v>107</v>
      </c>
      <c r="BI80" s="53">
        <f t="shared" si="38"/>
        <v>0</v>
      </c>
      <c r="BJ80" s="53">
        <f t="shared" si="39"/>
        <v>-1.8610886606706845</v>
      </c>
      <c r="BK80" s="53">
        <f t="shared" si="40"/>
        <v>11.653545819153518</v>
      </c>
      <c r="BL80" s="53">
        <f t="shared" si="41"/>
        <v>-11.901604278074288</v>
      </c>
      <c r="BM80" s="53">
        <f t="shared" si="42"/>
        <v>4.6411764705880518</v>
      </c>
    </row>
    <row r="81" spans="1:73" x14ac:dyDescent="0.25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L81" s="139">
        <f t="shared" si="32"/>
        <v>123.84</v>
      </c>
      <c r="AM81" s="129">
        <f t="shared" si="43"/>
        <v>104</v>
      </c>
      <c r="AN81" s="65">
        <f t="shared" si="33"/>
        <v>0</v>
      </c>
      <c r="AO81" s="65">
        <f t="shared" si="34"/>
        <v>-29.293333333333177</v>
      </c>
      <c r="AP81" s="65">
        <f t="shared" si="35"/>
        <v>67.59999999999971</v>
      </c>
      <c r="AQ81" s="65">
        <f t="shared" si="36"/>
        <v>9.5333333333334664</v>
      </c>
      <c r="AR81" s="65">
        <f t="shared" si="37"/>
        <v>76</v>
      </c>
      <c r="AV81" s="139">
        <f t="shared" si="53"/>
        <v>2.2288000000000001</v>
      </c>
      <c r="AW81" s="129">
        <f t="shared" si="54"/>
        <v>64</v>
      </c>
      <c r="AX81" s="65">
        <f t="shared" si="46"/>
        <v>0</v>
      </c>
      <c r="AY81" s="53">
        <f t="shared" si="55"/>
        <v>-0.13653333333333306</v>
      </c>
      <c r="AZ81" s="53">
        <f t="shared" si="56"/>
        <v>1.1519999999999992</v>
      </c>
      <c r="BA81" s="53">
        <f t="shared" si="57"/>
        <v>-0.18666666666666645</v>
      </c>
      <c r="BB81" s="53">
        <f t="shared" si="50"/>
        <v>1.4000000000000001</v>
      </c>
      <c r="BG81" s="53">
        <f t="shared" si="51"/>
        <v>2.5869713174526012</v>
      </c>
      <c r="BH81" s="53">
        <f t="shared" si="52"/>
        <v>108</v>
      </c>
      <c r="BI81" s="53">
        <f t="shared" si="38"/>
        <v>0</v>
      </c>
      <c r="BJ81" s="53">
        <f t="shared" si="39"/>
        <v>-1.9137578998539555</v>
      </c>
      <c r="BK81" s="53">
        <f t="shared" si="40"/>
        <v>11.872386971316852</v>
      </c>
      <c r="BL81" s="53">
        <f t="shared" si="41"/>
        <v>-12.012834224598347</v>
      </c>
      <c r="BM81" s="53">
        <f t="shared" si="42"/>
        <v>4.6411764705880518</v>
      </c>
    </row>
    <row r="82" spans="1:73" x14ac:dyDescent="0.25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L82" s="139">
        <f t="shared" si="32"/>
        <v>124.925625</v>
      </c>
      <c r="AM82" s="129">
        <f t="shared" si="43"/>
        <v>106</v>
      </c>
      <c r="AN82" s="65">
        <f t="shared" si="33"/>
        <v>0</v>
      </c>
      <c r="AO82" s="65">
        <f t="shared" si="34"/>
        <v>-31.016041666666499</v>
      </c>
      <c r="AP82" s="65">
        <f t="shared" si="35"/>
        <v>70.224999999999696</v>
      </c>
      <c r="AQ82" s="65">
        <f t="shared" si="36"/>
        <v>9.7166666666668036</v>
      </c>
      <c r="AR82" s="65">
        <f t="shared" si="37"/>
        <v>76</v>
      </c>
      <c r="AV82" s="139">
        <f t="shared" si="53"/>
        <v>2.2828874999999997</v>
      </c>
      <c r="AW82" s="129">
        <f t="shared" si="54"/>
        <v>66</v>
      </c>
      <c r="AX82" s="65">
        <f t="shared" si="46"/>
        <v>0</v>
      </c>
      <c r="AY82" s="53">
        <f t="shared" si="55"/>
        <v>-0.14973749999999969</v>
      </c>
      <c r="AZ82" s="53">
        <f t="shared" si="56"/>
        <v>1.2251249999999991</v>
      </c>
      <c r="BA82" s="53">
        <f t="shared" si="57"/>
        <v>-0.19249999999999978</v>
      </c>
      <c r="BB82" s="53">
        <f t="shared" si="50"/>
        <v>1.4000000000000001</v>
      </c>
      <c r="BG82" s="53">
        <f t="shared" si="51"/>
        <v>2.642964572192513</v>
      </c>
      <c r="BH82" s="53">
        <f t="shared" si="52"/>
        <v>109</v>
      </c>
      <c r="BI82" s="53">
        <f t="shared" si="38"/>
        <v>0</v>
      </c>
      <c r="BJ82" s="53">
        <f t="shared" si="39"/>
        <v>-1.9674115824013489</v>
      </c>
      <c r="BK82" s="53">
        <f t="shared" si="40"/>
        <v>12.093263855128216</v>
      </c>
      <c r="BL82" s="53">
        <f t="shared" si="41"/>
        <v>-12.124064171122406</v>
      </c>
      <c r="BM82" s="53">
        <f t="shared" si="42"/>
        <v>4.6411764705880518</v>
      </c>
    </row>
    <row r="83" spans="1:73" x14ac:dyDescent="0.25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L83" s="139">
        <f t="shared" si="32"/>
        <v>125.995</v>
      </c>
      <c r="AM83" s="129">
        <f t="shared" si="43"/>
        <v>108</v>
      </c>
      <c r="AN83" s="65">
        <f t="shared" si="33"/>
        <v>0</v>
      </c>
      <c r="AO83" s="65">
        <f t="shared" si="34"/>
        <v>-32.804999999999822</v>
      </c>
      <c r="AP83" s="65">
        <f t="shared" si="35"/>
        <v>72.899999999999679</v>
      </c>
      <c r="AQ83" s="65">
        <f t="shared" si="36"/>
        <v>9.9000000000001389</v>
      </c>
      <c r="AR83" s="65">
        <f t="shared" si="37"/>
        <v>76</v>
      </c>
      <c r="AV83" s="139">
        <f t="shared" si="53"/>
        <v>2.3383999999999996</v>
      </c>
      <c r="AW83" s="129">
        <f t="shared" si="54"/>
        <v>68</v>
      </c>
      <c r="AX83" s="65">
        <f t="shared" si="46"/>
        <v>0</v>
      </c>
      <c r="AY83" s="53">
        <f t="shared" si="55"/>
        <v>-0.16376666666666634</v>
      </c>
      <c r="AZ83" s="53">
        <f t="shared" si="56"/>
        <v>1.3004999999999991</v>
      </c>
      <c r="BA83" s="53">
        <f t="shared" si="57"/>
        <v>-0.19833333333333311</v>
      </c>
      <c r="BB83" s="53">
        <f t="shared" si="50"/>
        <v>1.4000000000000001</v>
      </c>
      <c r="BG83" s="53">
        <f t="shared" si="51"/>
        <v>2.6999999999999993</v>
      </c>
      <c r="BH83" s="53">
        <f t="shared" si="52"/>
        <v>110</v>
      </c>
      <c r="BI83" s="53">
        <f t="shared" si="38"/>
        <v>0</v>
      </c>
      <c r="BJ83" s="53">
        <f t="shared" si="39"/>
        <v>-2.0220588235291994</v>
      </c>
      <c r="BK83" s="53">
        <f t="shared" si="40"/>
        <v>12.316176470587612</v>
      </c>
      <c r="BL83" s="53">
        <f t="shared" si="41"/>
        <v>-12.235294117646465</v>
      </c>
      <c r="BM83" s="53">
        <f t="shared" si="42"/>
        <v>4.6411764705880518</v>
      </c>
    </row>
    <row r="84" spans="1:73" x14ac:dyDescent="0.25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L84" s="139">
        <f t="shared" si="32"/>
        <v>127.046875</v>
      </c>
      <c r="AM84" s="129">
        <f t="shared" si="43"/>
        <v>110</v>
      </c>
      <c r="AN84" s="65">
        <f t="shared" si="33"/>
        <v>0</v>
      </c>
      <c r="AO84" s="65">
        <f t="shared" si="34"/>
        <v>-34.661458333333144</v>
      </c>
      <c r="AP84" s="65">
        <f t="shared" si="35"/>
        <v>75.624999999999673</v>
      </c>
      <c r="AQ84" s="65">
        <f t="shared" si="36"/>
        <v>10.083333333333474</v>
      </c>
      <c r="AR84" s="65">
        <f t="shared" si="37"/>
        <v>76</v>
      </c>
      <c r="AV84" s="139">
        <f t="shared" si="53"/>
        <v>2.3953125000000002</v>
      </c>
      <c r="AW84" s="129">
        <f t="shared" si="54"/>
        <v>70</v>
      </c>
      <c r="AX84" s="65">
        <f t="shared" si="46"/>
        <v>0</v>
      </c>
      <c r="AY84" s="53">
        <f t="shared" si="55"/>
        <v>-0.17864583333333298</v>
      </c>
      <c r="AZ84" s="53">
        <f t="shared" si="56"/>
        <v>1.3781249999999992</v>
      </c>
      <c r="BA84" s="53">
        <f t="shared" si="57"/>
        <v>-0.20416666666666644</v>
      </c>
      <c r="BB84" s="53">
        <f t="shared" si="50"/>
        <v>1.4000000000000001</v>
      </c>
      <c r="BG84" s="53">
        <f t="shared" si="51"/>
        <v>2.7580684856587254</v>
      </c>
      <c r="BH84" s="53">
        <f t="shared" si="52"/>
        <v>111</v>
      </c>
      <c r="BI84" s="53">
        <f t="shared" si="38"/>
        <v>0</v>
      </c>
      <c r="BJ84" s="53">
        <f t="shared" si="39"/>
        <v>-2.0777087384538411</v>
      </c>
      <c r="BK84" s="53">
        <f t="shared" si="40"/>
        <v>12.541124817695039</v>
      </c>
      <c r="BL84" s="53">
        <f t="shared" si="41"/>
        <v>-12.346524064170524</v>
      </c>
      <c r="BM84" s="53">
        <f t="shared" si="42"/>
        <v>4.6411764705880518</v>
      </c>
    </row>
    <row r="85" spans="1:73" x14ac:dyDescent="0.25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L85" s="139">
        <f t="shared" si="32"/>
        <v>128.07999999999998</v>
      </c>
      <c r="AM85" s="129">
        <f t="shared" si="43"/>
        <v>112</v>
      </c>
      <c r="AN85" s="65">
        <f t="shared" si="33"/>
        <v>0</v>
      </c>
      <c r="AO85" s="65">
        <f t="shared" si="34"/>
        <v>-36.586666666666467</v>
      </c>
      <c r="AP85" s="65">
        <f t="shared" si="35"/>
        <v>78.39999999999965</v>
      </c>
      <c r="AQ85" s="65">
        <f t="shared" si="36"/>
        <v>10.266666666666811</v>
      </c>
      <c r="AR85" s="65">
        <f t="shared" si="37"/>
        <v>76</v>
      </c>
      <c r="AV85" s="139">
        <f t="shared" si="53"/>
        <v>2.4535999999999998</v>
      </c>
      <c r="AW85" s="129">
        <f t="shared" si="54"/>
        <v>72</v>
      </c>
      <c r="AX85" s="65">
        <f t="shared" si="46"/>
        <v>0</v>
      </c>
      <c r="AY85" s="53">
        <f t="shared" si="55"/>
        <v>-0.1943999999999996</v>
      </c>
      <c r="AZ85" s="53">
        <f t="shared" si="56"/>
        <v>1.4579999999999991</v>
      </c>
      <c r="BA85" s="53">
        <f t="shared" si="57"/>
        <v>-0.20999999999999977</v>
      </c>
      <c r="BB85" s="53">
        <f t="shared" si="50"/>
        <v>1.4000000000000001</v>
      </c>
      <c r="BG85" s="53">
        <f t="shared" si="51"/>
        <v>2.8171609139523568</v>
      </c>
      <c r="BH85" s="53">
        <f t="shared" si="52"/>
        <v>112</v>
      </c>
      <c r="BI85" s="53">
        <f t="shared" si="38"/>
        <v>0</v>
      </c>
      <c r="BJ85" s="53">
        <f t="shared" si="39"/>
        <v>-2.1343704423916088</v>
      </c>
      <c r="BK85" s="53">
        <f t="shared" si="40"/>
        <v>12.768108896450496</v>
      </c>
      <c r="BL85" s="53">
        <f t="shared" si="41"/>
        <v>-12.457754010694583</v>
      </c>
      <c r="BM85" s="53">
        <f t="shared" si="42"/>
        <v>4.6411764705880518</v>
      </c>
    </row>
    <row r="86" spans="1:73" s="53" customFormat="1" x14ac:dyDescent="0.25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E86" s="65"/>
      <c r="AF86" s="65"/>
      <c r="AG86" s="65"/>
      <c r="AH86" s="65"/>
      <c r="AI86" s="65"/>
      <c r="AJ86" s="65"/>
      <c r="AK86" s="65"/>
      <c r="AL86" s="139">
        <f t="shared" si="32"/>
        <v>129.09312499999999</v>
      </c>
      <c r="AM86" s="129">
        <f t="shared" si="43"/>
        <v>114</v>
      </c>
      <c r="AN86" s="65">
        <f t="shared" si="33"/>
        <v>0</v>
      </c>
      <c r="AO86" s="65">
        <f t="shared" si="34"/>
        <v>-38.581874999999791</v>
      </c>
      <c r="AP86" s="65">
        <f t="shared" si="35"/>
        <v>81.224999999999639</v>
      </c>
      <c r="AQ86" s="65">
        <f t="shared" si="36"/>
        <v>10.450000000000147</v>
      </c>
      <c r="AR86" s="65">
        <f t="shared" si="37"/>
        <v>76</v>
      </c>
      <c r="AS86" s="65"/>
      <c r="AT86" s="65"/>
      <c r="AU86" s="65"/>
      <c r="AV86" s="139">
        <f t="shared" si="53"/>
        <v>2.5132374999999998</v>
      </c>
      <c r="AW86" s="129">
        <f t="shared" si="54"/>
        <v>74</v>
      </c>
      <c r="AX86" s="65">
        <f t="shared" si="46"/>
        <v>0</v>
      </c>
      <c r="AY86" s="53">
        <f t="shared" si="55"/>
        <v>-0.21105416666666624</v>
      </c>
      <c r="AZ86" s="53">
        <f t="shared" si="56"/>
        <v>1.5401249999999991</v>
      </c>
      <c r="BA86" s="53">
        <f t="shared" si="57"/>
        <v>-0.2158333333333331</v>
      </c>
      <c r="BB86" s="53">
        <f t="shared" si="50"/>
        <v>1.4000000000000001</v>
      </c>
      <c r="BG86" s="53">
        <f t="shared" ref="BG86:BG114" si="58">BI86+BJ86+BK86+BL86+BM86</f>
        <v>2.8772681696645606</v>
      </c>
      <c r="BH86" s="53">
        <f t="shared" si="52"/>
        <v>113</v>
      </c>
      <c r="BI86" s="53">
        <f t="shared" si="38"/>
        <v>0</v>
      </c>
      <c r="BJ86" s="53">
        <f t="shared" si="39"/>
        <v>-2.1920530505588363</v>
      </c>
      <c r="BK86" s="53">
        <f t="shared" si="40"/>
        <v>12.997128706853985</v>
      </c>
      <c r="BL86" s="53">
        <f t="shared" si="41"/>
        <v>-12.56898395721864</v>
      </c>
      <c r="BM86" s="53">
        <f t="shared" si="42"/>
        <v>4.6411764705880518</v>
      </c>
      <c r="BS86" s="65"/>
      <c r="BT86" s="65"/>
      <c r="BU86" s="65"/>
    </row>
    <row r="87" spans="1:73" s="53" customFormat="1" x14ac:dyDescent="0.25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E87" s="65"/>
      <c r="AF87" s="65"/>
      <c r="AG87" s="65"/>
      <c r="AH87" s="65"/>
      <c r="AI87" s="65"/>
      <c r="AJ87" s="65"/>
      <c r="AK87" s="65"/>
      <c r="AL87" s="139">
        <f t="shared" si="32"/>
        <v>130.08499999999998</v>
      </c>
      <c r="AM87" s="129">
        <f t="shared" si="43"/>
        <v>116</v>
      </c>
      <c r="AN87" s="65">
        <f t="shared" si="33"/>
        <v>0</v>
      </c>
      <c r="AO87" s="65">
        <f t="shared" si="34"/>
        <v>-40.648333333333113</v>
      </c>
      <c r="AP87" s="65">
        <f t="shared" si="35"/>
        <v>84.099999999999625</v>
      </c>
      <c r="AQ87" s="65">
        <f t="shared" si="36"/>
        <v>10.633333333333482</v>
      </c>
      <c r="AR87" s="65">
        <f t="shared" si="37"/>
        <v>76</v>
      </c>
      <c r="AS87" s="65"/>
      <c r="AT87" s="65"/>
      <c r="AU87" s="65"/>
      <c r="AV87" s="139">
        <f t="shared" si="53"/>
        <v>2.5741999999999998</v>
      </c>
      <c r="AW87" s="129">
        <f t="shared" si="54"/>
        <v>76</v>
      </c>
      <c r="AX87" s="65">
        <f t="shared" si="46"/>
        <v>0</v>
      </c>
      <c r="AY87" s="53">
        <f t="shared" si="55"/>
        <v>-0.22863333333333288</v>
      </c>
      <c r="AZ87" s="53">
        <f t="shared" si="56"/>
        <v>1.6244999999999989</v>
      </c>
      <c r="BA87" s="53">
        <f t="shared" si="57"/>
        <v>-0.2216666666666664</v>
      </c>
      <c r="BB87" s="53">
        <f t="shared" si="50"/>
        <v>1.4000000000000001</v>
      </c>
      <c r="BG87" s="53">
        <f t="shared" si="58"/>
        <v>2.9383811375789985</v>
      </c>
      <c r="BH87" s="53">
        <f t="shared" si="52"/>
        <v>114</v>
      </c>
      <c r="BI87" s="53">
        <f t="shared" si="38"/>
        <v>0</v>
      </c>
      <c r="BJ87" s="53">
        <f t="shared" si="39"/>
        <v>-2.250765678171859</v>
      </c>
      <c r="BK87" s="53">
        <f t="shared" si="40"/>
        <v>13.228184248905505</v>
      </c>
      <c r="BL87" s="53">
        <f t="shared" si="41"/>
        <v>-12.680213903742699</v>
      </c>
      <c r="BM87" s="53">
        <f t="shared" si="42"/>
        <v>4.6411764705880518</v>
      </c>
      <c r="BS87" s="65"/>
      <c r="BT87" s="65"/>
      <c r="BU87" s="65"/>
    </row>
    <row r="88" spans="1:73" s="53" customFormat="1" x14ac:dyDescent="0.25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E88" s="65"/>
      <c r="AF88" s="65"/>
      <c r="AG88" s="65"/>
      <c r="AH88" s="65"/>
      <c r="AI88" s="65"/>
      <c r="AJ88" s="65"/>
      <c r="AK88" s="65"/>
      <c r="AL88" s="139">
        <f t="shared" si="32"/>
        <v>131.05437499999999</v>
      </c>
      <c r="AM88" s="129">
        <f t="shared" si="43"/>
        <v>118</v>
      </c>
      <c r="AN88" s="65">
        <f t="shared" si="33"/>
        <v>0</v>
      </c>
      <c r="AO88" s="65">
        <f t="shared" si="34"/>
        <v>-42.787291666666434</v>
      </c>
      <c r="AP88" s="65">
        <f t="shared" si="35"/>
        <v>87.024999999999622</v>
      </c>
      <c r="AQ88" s="65">
        <f t="shared" si="36"/>
        <v>10.816666666666817</v>
      </c>
      <c r="AR88" s="65">
        <f t="shared" si="37"/>
        <v>76</v>
      </c>
      <c r="AS88" s="65"/>
      <c r="AT88" s="65"/>
      <c r="AU88" s="65"/>
      <c r="AV88" s="139">
        <f t="shared" si="53"/>
        <v>2.6364624999999995</v>
      </c>
      <c r="AW88" s="129">
        <f t="shared" si="54"/>
        <v>78</v>
      </c>
      <c r="AX88" s="65">
        <f t="shared" si="46"/>
        <v>0</v>
      </c>
      <c r="AY88" s="53">
        <f t="shared" si="55"/>
        <v>-0.24716249999999951</v>
      </c>
      <c r="AZ88" s="53">
        <f t="shared" si="56"/>
        <v>1.7111249999999989</v>
      </c>
      <c r="BA88" s="53">
        <f t="shared" si="57"/>
        <v>-0.22749999999999973</v>
      </c>
      <c r="BB88" s="53">
        <f t="shared" si="50"/>
        <v>1.4000000000000001</v>
      </c>
      <c r="BG88" s="53">
        <f t="shared" si="58"/>
        <v>3.0004907024793379</v>
      </c>
      <c r="BH88" s="53">
        <f t="shared" si="52"/>
        <v>115</v>
      </c>
      <c r="BI88" s="53">
        <f t="shared" si="38"/>
        <v>0</v>
      </c>
      <c r="BJ88" s="53">
        <f t="shared" si="39"/>
        <v>-2.3105174404470108</v>
      </c>
      <c r="BK88" s="53">
        <f t="shared" si="40"/>
        <v>13.461275522605055</v>
      </c>
      <c r="BL88" s="53">
        <f t="shared" si="41"/>
        <v>-12.791443850266758</v>
      </c>
      <c r="BM88" s="53">
        <f t="shared" si="42"/>
        <v>4.6411764705880518</v>
      </c>
      <c r="BS88" s="65"/>
      <c r="BT88" s="65"/>
      <c r="BU88" s="65"/>
    </row>
    <row r="89" spans="1:73" s="53" customFormat="1" x14ac:dyDescent="0.25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E89" s="65"/>
      <c r="AF89" s="65"/>
      <c r="AG89" s="65"/>
      <c r="AH89" s="65"/>
      <c r="AI89" s="65"/>
      <c r="AJ89" s="65"/>
      <c r="AK89" s="65"/>
      <c r="AL89" s="139">
        <f t="shared" si="32"/>
        <v>132</v>
      </c>
      <c r="AM89" s="129">
        <f t="shared" si="43"/>
        <v>120</v>
      </c>
      <c r="AN89" s="65">
        <f t="shared" si="33"/>
        <v>0</v>
      </c>
      <c r="AO89" s="65">
        <f t="shared" si="34"/>
        <v>-44.999999999999758</v>
      </c>
      <c r="AP89" s="65">
        <f t="shared" si="35"/>
        <v>89.999999999999602</v>
      </c>
      <c r="AQ89" s="65">
        <f t="shared" si="36"/>
        <v>11.000000000000155</v>
      </c>
      <c r="AR89" s="65">
        <f t="shared" si="37"/>
        <v>76</v>
      </c>
      <c r="AS89" s="65"/>
      <c r="AT89" s="65"/>
      <c r="AU89" s="65"/>
      <c r="AV89" s="139">
        <f t="shared" si="53"/>
        <v>2.7</v>
      </c>
      <c r="AW89" s="129">
        <f t="shared" si="54"/>
        <v>80</v>
      </c>
      <c r="AX89" s="65">
        <f t="shared" si="46"/>
        <v>0</v>
      </c>
      <c r="AY89" s="53">
        <f t="shared" si="55"/>
        <v>-0.26666666666666616</v>
      </c>
      <c r="AZ89" s="53">
        <f t="shared" si="56"/>
        <v>1.7999999999999989</v>
      </c>
      <c r="BA89" s="53">
        <f t="shared" si="57"/>
        <v>-0.23333333333333306</v>
      </c>
      <c r="BB89" s="53">
        <f t="shared" si="50"/>
        <v>1.4000000000000001</v>
      </c>
      <c r="BG89" s="53">
        <f t="shared" si="58"/>
        <v>3.0635877491492458</v>
      </c>
      <c r="BH89" s="53">
        <f t="shared" si="52"/>
        <v>116</v>
      </c>
      <c r="BI89" s="53">
        <f t="shared" si="38"/>
        <v>0</v>
      </c>
      <c r="BJ89" s="53">
        <f t="shared" si="39"/>
        <v>-2.3713174526006262</v>
      </c>
      <c r="BK89" s="53">
        <f t="shared" si="40"/>
        <v>13.696402527952637</v>
      </c>
      <c r="BL89" s="53">
        <f t="shared" si="41"/>
        <v>-12.902673796790816</v>
      </c>
      <c r="BM89" s="53">
        <f t="shared" si="42"/>
        <v>4.6411764705880518</v>
      </c>
      <c r="BS89" s="65"/>
      <c r="BT89" s="65"/>
      <c r="BU89" s="65"/>
    </row>
    <row r="90" spans="1:73" s="53" customFormat="1" x14ac:dyDescent="0.25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E90" s="65"/>
      <c r="AF90" s="65"/>
      <c r="AG90" s="65"/>
      <c r="AH90" s="65"/>
      <c r="AI90" s="65"/>
      <c r="AJ90" s="65"/>
      <c r="AK90" s="65"/>
      <c r="AL90" s="139">
        <f t="shared" si="32"/>
        <v>132.920625</v>
      </c>
      <c r="AM90" s="129">
        <f t="shared" si="43"/>
        <v>122</v>
      </c>
      <c r="AN90" s="65">
        <f t="shared" si="33"/>
        <v>0</v>
      </c>
      <c r="AO90" s="65">
        <f t="shared" si="34"/>
        <v>-47.287708333333079</v>
      </c>
      <c r="AP90" s="65">
        <f t="shared" si="35"/>
        <v>93.024999999999594</v>
      </c>
      <c r="AQ90" s="65">
        <f t="shared" si="36"/>
        <v>11.18333333333349</v>
      </c>
      <c r="AR90" s="65">
        <f t="shared" si="37"/>
        <v>76</v>
      </c>
      <c r="AS90" s="65"/>
      <c r="AT90" s="65"/>
      <c r="AU90" s="65"/>
      <c r="AV90" s="139">
        <f t="shared" si="53"/>
        <v>2.7647874999999997</v>
      </c>
      <c r="AW90" s="129">
        <f t="shared" si="54"/>
        <v>82</v>
      </c>
      <c r="AX90" s="65">
        <f t="shared" si="46"/>
        <v>0</v>
      </c>
      <c r="AY90" s="53">
        <f t="shared" si="55"/>
        <v>-0.28717083333333276</v>
      </c>
      <c r="AZ90" s="53">
        <f t="shared" si="56"/>
        <v>1.8911249999999988</v>
      </c>
      <c r="BA90" s="53">
        <f t="shared" si="57"/>
        <v>-0.23916666666666639</v>
      </c>
      <c r="BB90" s="53">
        <f t="shared" si="50"/>
        <v>1.4000000000000001</v>
      </c>
      <c r="BG90" s="53">
        <f t="shared" si="58"/>
        <v>3.1276631623723858</v>
      </c>
      <c r="BH90" s="53">
        <f t="shared" si="52"/>
        <v>117</v>
      </c>
      <c r="BI90" s="53">
        <f t="shared" si="38"/>
        <v>0</v>
      </c>
      <c r="BJ90" s="53">
        <f t="shared" si="39"/>
        <v>-2.4331748298490394</v>
      </c>
      <c r="BK90" s="53">
        <f t="shared" si="40"/>
        <v>13.93356526494825</v>
      </c>
      <c r="BL90" s="53">
        <f t="shared" si="41"/>
        <v>-13.013903743314875</v>
      </c>
      <c r="BM90" s="53">
        <f t="shared" si="42"/>
        <v>4.6411764705880518</v>
      </c>
      <c r="BS90" s="65"/>
      <c r="BT90" s="65"/>
      <c r="BU90" s="65"/>
    </row>
    <row r="91" spans="1:73" s="53" customFormat="1" x14ac:dyDescent="0.25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E91" s="65"/>
      <c r="AF91" s="65"/>
      <c r="AG91" s="65"/>
      <c r="AH91" s="65"/>
      <c r="AI91" s="65"/>
      <c r="AJ91" s="65"/>
      <c r="AK91" s="65"/>
      <c r="AL91" s="139">
        <f t="shared" si="32"/>
        <v>133.815</v>
      </c>
      <c r="AM91" s="129">
        <f t="shared" si="43"/>
        <v>124</v>
      </c>
      <c r="AN91" s="65">
        <f t="shared" si="33"/>
        <v>0</v>
      </c>
      <c r="AO91" s="65">
        <f t="shared" si="34"/>
        <v>-49.651666666666401</v>
      </c>
      <c r="AP91" s="65">
        <f t="shared" si="35"/>
        <v>96.099999999999582</v>
      </c>
      <c r="AQ91" s="65">
        <f t="shared" si="36"/>
        <v>11.366666666666825</v>
      </c>
      <c r="AR91" s="65">
        <f t="shared" si="37"/>
        <v>76</v>
      </c>
      <c r="AS91" s="65"/>
      <c r="AT91" s="65"/>
      <c r="AU91" s="65"/>
      <c r="AV91" s="139">
        <f t="shared" si="53"/>
        <v>2.8308</v>
      </c>
      <c r="AW91" s="129">
        <f t="shared" si="54"/>
        <v>84</v>
      </c>
      <c r="AX91" s="65">
        <f t="shared" si="46"/>
        <v>0</v>
      </c>
      <c r="AY91" s="53">
        <f t="shared" si="55"/>
        <v>-0.30869999999999936</v>
      </c>
      <c r="AZ91" s="53">
        <f t="shared" si="56"/>
        <v>1.9844999999999986</v>
      </c>
      <c r="BA91" s="53">
        <f t="shared" si="57"/>
        <v>-0.24499999999999972</v>
      </c>
      <c r="BB91" s="53">
        <f t="shared" si="50"/>
        <v>1.4000000000000001</v>
      </c>
      <c r="BG91" s="53">
        <f t="shared" si="58"/>
        <v>3.1927078269324252</v>
      </c>
      <c r="BH91" s="53">
        <f t="shared" si="52"/>
        <v>118</v>
      </c>
      <c r="BI91" s="53">
        <f t="shared" si="38"/>
        <v>0</v>
      </c>
      <c r="BJ91" s="53">
        <f t="shared" si="39"/>
        <v>-2.4960986874085855</v>
      </c>
      <c r="BK91" s="53">
        <f t="shared" si="40"/>
        <v>14.172763733591893</v>
      </c>
      <c r="BL91" s="53">
        <f t="shared" si="41"/>
        <v>-13.125133689838934</v>
      </c>
      <c r="BM91" s="53">
        <f t="shared" si="42"/>
        <v>4.6411764705880518</v>
      </c>
      <c r="BS91" s="65"/>
      <c r="BT91" s="65"/>
      <c r="BU91" s="65"/>
    </row>
    <row r="92" spans="1:73" s="53" customFormat="1" x14ac:dyDescent="0.25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E92" s="65"/>
      <c r="AF92" s="65"/>
      <c r="AG92" s="65"/>
      <c r="AH92" s="65"/>
      <c r="AI92" s="65"/>
      <c r="AJ92" s="65"/>
      <c r="AK92" s="65"/>
      <c r="AL92" s="139">
        <f t="shared" si="32"/>
        <v>134.68187500000002</v>
      </c>
      <c r="AM92" s="129">
        <f t="shared" si="43"/>
        <v>126</v>
      </c>
      <c r="AN92" s="65">
        <f t="shared" si="33"/>
        <v>0</v>
      </c>
      <c r="AO92" s="65">
        <f t="shared" si="34"/>
        <v>-52.093124999999716</v>
      </c>
      <c r="AP92" s="65">
        <f t="shared" si="35"/>
        <v>99.224999999999568</v>
      </c>
      <c r="AQ92" s="65">
        <f t="shared" si="36"/>
        <v>11.550000000000162</v>
      </c>
      <c r="AR92" s="65">
        <f t="shared" si="37"/>
        <v>76</v>
      </c>
      <c r="AS92" s="65"/>
      <c r="AT92" s="65"/>
      <c r="AU92" s="65"/>
      <c r="AV92" s="139">
        <f t="shared" si="53"/>
        <v>2.8980124999999992</v>
      </c>
      <c r="AW92" s="129">
        <f t="shared" si="54"/>
        <v>86</v>
      </c>
      <c r="AX92" s="65">
        <f t="shared" si="46"/>
        <v>0</v>
      </c>
      <c r="AY92" s="53">
        <f t="shared" si="55"/>
        <v>-0.33127916666666601</v>
      </c>
      <c r="AZ92" s="53">
        <f t="shared" si="56"/>
        <v>2.0801249999999984</v>
      </c>
      <c r="BA92" s="53">
        <f t="shared" si="57"/>
        <v>-0.25083333333333302</v>
      </c>
      <c r="BB92" s="53">
        <f t="shared" si="50"/>
        <v>1.4000000000000001</v>
      </c>
      <c r="BG92" s="53">
        <f t="shared" si="58"/>
        <v>3.2587126276130274</v>
      </c>
      <c r="BH92" s="53">
        <f t="shared" si="52"/>
        <v>119</v>
      </c>
      <c r="BI92" s="53">
        <f t="shared" si="38"/>
        <v>0</v>
      </c>
      <c r="BJ92" s="53">
        <f t="shared" si="39"/>
        <v>-2.5600981404955987</v>
      </c>
      <c r="BK92" s="53">
        <f t="shared" si="40"/>
        <v>14.413997933883568</v>
      </c>
      <c r="BL92" s="53">
        <f t="shared" si="41"/>
        <v>-13.236363636362993</v>
      </c>
      <c r="BM92" s="53">
        <f t="shared" si="42"/>
        <v>4.6411764705880518</v>
      </c>
      <c r="BS92" s="65"/>
      <c r="BT92" s="65"/>
      <c r="BU92" s="65"/>
    </row>
    <row r="93" spans="1:73" s="53" customFormat="1" x14ac:dyDescent="0.25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E93" s="65"/>
      <c r="AF93" s="65"/>
      <c r="AG93" s="65"/>
      <c r="AH93" s="65"/>
      <c r="AI93" s="65"/>
      <c r="AJ93" s="65"/>
      <c r="AK93" s="65"/>
      <c r="AL93" s="139">
        <f t="shared" si="32"/>
        <v>135.52000000000001</v>
      </c>
      <c r="AM93" s="129">
        <f t="shared" si="43"/>
        <v>128</v>
      </c>
      <c r="AN93" s="65">
        <f t="shared" si="33"/>
        <v>0</v>
      </c>
      <c r="AO93" s="65">
        <f t="shared" si="34"/>
        <v>-54.613333333333038</v>
      </c>
      <c r="AP93" s="65">
        <f t="shared" si="35"/>
        <v>102.39999999999955</v>
      </c>
      <c r="AQ93" s="65">
        <f t="shared" si="36"/>
        <v>11.733333333333498</v>
      </c>
      <c r="AR93" s="65">
        <f t="shared" si="37"/>
        <v>76</v>
      </c>
      <c r="AS93" s="65"/>
      <c r="AT93" s="65"/>
      <c r="AU93" s="65"/>
      <c r="AV93" s="139">
        <f t="shared" si="53"/>
        <v>2.9663999999999997</v>
      </c>
      <c r="AW93" s="129">
        <f t="shared" si="54"/>
        <v>88</v>
      </c>
      <c r="AX93" s="65">
        <f t="shared" si="46"/>
        <v>0</v>
      </c>
      <c r="AY93" s="53">
        <f t="shared" si="55"/>
        <v>-0.3549333333333326</v>
      </c>
      <c r="AZ93" s="53">
        <f t="shared" si="56"/>
        <v>2.1779999999999986</v>
      </c>
      <c r="BA93" s="53">
        <f t="shared" si="57"/>
        <v>-0.25666666666666638</v>
      </c>
      <c r="BB93" s="53">
        <f t="shared" si="50"/>
        <v>1.4000000000000001</v>
      </c>
      <c r="BG93" s="53">
        <f t="shared" si="58"/>
        <v>3.3256684491978596</v>
      </c>
      <c r="BH93" s="53">
        <f t="shared" si="52"/>
        <v>120</v>
      </c>
      <c r="BI93" s="53">
        <f t="shared" si="38"/>
        <v>0</v>
      </c>
      <c r="BJ93" s="53">
        <f t="shared" si="39"/>
        <v>-2.6251823043264135</v>
      </c>
      <c r="BK93" s="53">
        <f t="shared" si="40"/>
        <v>14.657267865823274</v>
      </c>
      <c r="BL93" s="53">
        <f t="shared" si="41"/>
        <v>-13.347593582887052</v>
      </c>
      <c r="BM93" s="53">
        <f t="shared" si="42"/>
        <v>4.6411764705880518</v>
      </c>
      <c r="BS93" s="65"/>
      <c r="BT93" s="65"/>
      <c r="BU93" s="65"/>
    </row>
    <row r="94" spans="1:73" s="53" customFormat="1" x14ac:dyDescent="0.25">
      <c r="AE94" s="65"/>
      <c r="AF94" s="65"/>
      <c r="AG94" s="65"/>
      <c r="AH94" s="65"/>
      <c r="AI94" s="65"/>
      <c r="AJ94" s="65"/>
      <c r="AK94" s="65"/>
      <c r="AL94" s="139">
        <f t="shared" si="32"/>
        <v>136.328125</v>
      </c>
      <c r="AM94" s="129">
        <f t="shared" si="43"/>
        <v>130</v>
      </c>
      <c r="AN94" s="65">
        <f t="shared" si="33"/>
        <v>0</v>
      </c>
      <c r="AO94" s="65">
        <f t="shared" si="34"/>
        <v>-57.213541666666359</v>
      </c>
      <c r="AP94" s="65">
        <f t="shared" si="35"/>
        <v>105.62499999999953</v>
      </c>
      <c r="AQ94" s="65">
        <f t="shared" si="36"/>
        <v>11.916666666666833</v>
      </c>
      <c r="AR94" s="65">
        <f t="shared" si="37"/>
        <v>76</v>
      </c>
      <c r="AS94" s="65"/>
      <c r="AT94" s="65"/>
      <c r="AU94" s="65"/>
      <c r="AV94" s="139">
        <f t="shared" si="53"/>
        <v>3.0359374999999993</v>
      </c>
      <c r="AW94" s="129">
        <f t="shared" si="54"/>
        <v>90</v>
      </c>
      <c r="AX94" s="65">
        <f t="shared" si="46"/>
        <v>0</v>
      </c>
      <c r="AY94" s="53">
        <f t="shared" si="55"/>
        <v>-0.37968749999999923</v>
      </c>
      <c r="AZ94" s="53">
        <f t="shared" si="56"/>
        <v>2.2781249999999984</v>
      </c>
      <c r="BA94" s="53">
        <f t="shared" si="57"/>
        <v>-0.26249999999999968</v>
      </c>
      <c r="BB94" s="53">
        <f t="shared" si="50"/>
        <v>1.4000000000000001</v>
      </c>
      <c r="BG94" s="53">
        <f t="shared" si="58"/>
        <v>3.3935661764705856</v>
      </c>
      <c r="BH94" s="53">
        <f t="shared" si="52"/>
        <v>121</v>
      </c>
      <c r="BI94" s="53">
        <f t="shared" si="38"/>
        <v>0</v>
      </c>
      <c r="BJ94" s="53">
        <f t="shared" si="39"/>
        <v>-2.6913602941173642</v>
      </c>
      <c r="BK94" s="53">
        <f t="shared" si="40"/>
        <v>14.90257352941101</v>
      </c>
      <c r="BL94" s="53">
        <f t="shared" si="41"/>
        <v>-13.458823529411111</v>
      </c>
      <c r="BM94" s="53">
        <f t="shared" si="42"/>
        <v>4.6411764705880518</v>
      </c>
      <c r="BS94" s="65"/>
      <c r="BT94" s="65"/>
      <c r="BU94" s="65"/>
    </row>
    <row r="95" spans="1:73" s="53" customFormat="1" x14ac:dyDescent="0.25">
      <c r="A95" s="80"/>
      <c r="B95" s="53" t="s">
        <v>33</v>
      </c>
      <c r="C95" s="53" t="s">
        <v>12</v>
      </c>
      <c r="D95" s="53" t="s">
        <v>13</v>
      </c>
      <c r="E95" s="53" t="s">
        <v>15</v>
      </c>
      <c r="AE95" s="65"/>
      <c r="AF95" s="65"/>
      <c r="AG95" s="65"/>
      <c r="AH95" s="65"/>
      <c r="AI95" s="65"/>
      <c r="AJ95" s="65"/>
      <c r="AK95" s="65"/>
      <c r="AL95" s="139">
        <f t="shared" si="32"/>
        <v>137.10500000000002</v>
      </c>
      <c r="AM95" s="129">
        <f t="shared" si="43"/>
        <v>132</v>
      </c>
      <c r="AN95" s="65">
        <f t="shared" si="33"/>
        <v>0</v>
      </c>
      <c r="AO95" s="65">
        <f t="shared" si="34"/>
        <v>-59.894999999999676</v>
      </c>
      <c r="AP95" s="65">
        <f t="shared" si="35"/>
        <v>108.89999999999952</v>
      </c>
      <c r="AQ95" s="65">
        <f t="shared" si="36"/>
        <v>12.10000000000017</v>
      </c>
      <c r="AR95" s="65">
        <f t="shared" si="37"/>
        <v>76</v>
      </c>
      <c r="AS95" s="65"/>
      <c r="AT95" s="65"/>
      <c r="AU95" s="65"/>
      <c r="AV95" s="139">
        <f t="shared" si="53"/>
        <v>3.1065999999999994</v>
      </c>
      <c r="AW95" s="129">
        <f t="shared" si="54"/>
        <v>92</v>
      </c>
      <c r="AX95" s="65">
        <f t="shared" si="46"/>
        <v>0</v>
      </c>
      <c r="AY95" s="53">
        <f t="shared" si="55"/>
        <v>-0.40556666666666585</v>
      </c>
      <c r="AZ95" s="53">
        <f t="shared" si="56"/>
        <v>2.3804999999999983</v>
      </c>
      <c r="BA95" s="53">
        <f t="shared" si="57"/>
        <v>-0.26833333333333304</v>
      </c>
      <c r="BB95" s="53">
        <f t="shared" si="50"/>
        <v>1.4000000000000001</v>
      </c>
      <c r="BG95" s="53">
        <f t="shared" si="58"/>
        <v>3.4623966942148741</v>
      </c>
      <c r="BH95" s="53">
        <f t="shared" si="52"/>
        <v>122</v>
      </c>
      <c r="BI95" s="53">
        <f t="shared" si="38"/>
        <v>0</v>
      </c>
      <c r="BJ95" s="53">
        <f t="shared" si="39"/>
        <v>-2.7586412250847858</v>
      </c>
      <c r="BK95" s="53">
        <f t="shared" si="40"/>
        <v>15.149914924646778</v>
      </c>
      <c r="BL95" s="53">
        <f t="shared" si="41"/>
        <v>-13.57005347593517</v>
      </c>
      <c r="BM95" s="53">
        <f t="shared" si="42"/>
        <v>4.6411764705880518</v>
      </c>
      <c r="BS95" s="65"/>
      <c r="BT95" s="65"/>
      <c r="BU95" s="65"/>
    </row>
    <row r="96" spans="1:73" s="53" customFormat="1" x14ac:dyDescent="0.25">
      <c r="A96" s="61">
        <f>Start!C13</f>
        <v>0.125</v>
      </c>
      <c r="B96" s="53">
        <f>IF(Start!C18&gt;0,Start!C18,"")</f>
        <v>76</v>
      </c>
      <c r="C96" s="55">
        <f>IF(Start!C16&gt;0,Start!C16,"")</f>
        <v>120</v>
      </c>
      <c r="D96" s="55">
        <f>IF(Start!C17&gt;0,Start!C17,"")</f>
        <v>70</v>
      </c>
      <c r="E96" s="79">
        <f>IF(Start!C19&gt;0,Start!C19,"")</f>
        <v>1.4</v>
      </c>
      <c r="AE96" s="65"/>
      <c r="AF96" s="65"/>
      <c r="AG96" s="65"/>
      <c r="AH96" s="65"/>
      <c r="AI96" s="65"/>
      <c r="AJ96" s="65"/>
      <c r="AK96" s="65"/>
      <c r="AL96" s="139">
        <f t="shared" si="32"/>
        <v>137.84937500000001</v>
      </c>
      <c r="AM96" s="129">
        <f t="shared" si="43"/>
        <v>134</v>
      </c>
      <c r="AN96" s="65">
        <f t="shared" si="33"/>
        <v>0</v>
      </c>
      <c r="AO96" s="65">
        <f t="shared" si="34"/>
        <v>-62.658958333332997</v>
      </c>
      <c r="AP96" s="65">
        <f t="shared" si="35"/>
        <v>112.22499999999951</v>
      </c>
      <c r="AQ96" s="65">
        <f t="shared" si="36"/>
        <v>12.283333333333506</v>
      </c>
      <c r="AR96" s="65">
        <f t="shared" si="37"/>
        <v>76</v>
      </c>
      <c r="AS96" s="65"/>
      <c r="AT96" s="65"/>
      <c r="AU96" s="65"/>
      <c r="AV96" s="139">
        <f t="shared" si="53"/>
        <v>3.1783624999999995</v>
      </c>
      <c r="AW96" s="129">
        <f t="shared" si="54"/>
        <v>94</v>
      </c>
      <c r="AX96" s="65">
        <f t="shared" si="46"/>
        <v>0</v>
      </c>
      <c r="AY96" s="53">
        <f t="shared" si="55"/>
        <v>-0.43259583333333246</v>
      </c>
      <c r="AZ96" s="53">
        <f t="shared" si="56"/>
        <v>2.4851249999999983</v>
      </c>
      <c r="BA96" s="53">
        <f t="shared" si="57"/>
        <v>-0.27416666666666634</v>
      </c>
      <c r="BB96" s="53">
        <f t="shared" si="50"/>
        <v>1.4000000000000001</v>
      </c>
      <c r="BG96" s="53">
        <f t="shared" si="58"/>
        <v>3.5321508872143887</v>
      </c>
      <c r="BH96" s="53">
        <f t="shared" si="52"/>
        <v>123</v>
      </c>
      <c r="BI96" s="53">
        <f t="shared" si="38"/>
        <v>0</v>
      </c>
      <c r="BJ96" s="53">
        <f t="shared" si="39"/>
        <v>-2.8270342124450116</v>
      </c>
      <c r="BK96" s="53">
        <f t="shared" si="40"/>
        <v>15.399292051530576</v>
      </c>
      <c r="BL96" s="53">
        <f t="shared" si="41"/>
        <v>-13.681283422459227</v>
      </c>
      <c r="BM96" s="53">
        <f t="shared" si="42"/>
        <v>4.6411764705880518</v>
      </c>
      <c r="BS96" s="65"/>
      <c r="BT96" s="65"/>
      <c r="BU96" s="65"/>
    </row>
    <row r="97" spans="1:73" s="53" customFormat="1" x14ac:dyDescent="0.25">
      <c r="A97" s="61">
        <f>A96+Start!$C$13</f>
        <v>0.25</v>
      </c>
      <c r="B97" s="53">
        <f>IF(Start!C24&gt;0,Start!C24,"")</f>
        <v>88</v>
      </c>
      <c r="C97" s="55">
        <f>IF(Start!C22&gt;0,Start!C22,"")</f>
        <v>130</v>
      </c>
      <c r="D97" s="55">
        <f>IF(Start!C23&gt;0,Start!C23,"")</f>
        <v>75</v>
      </c>
      <c r="E97" s="79">
        <f>IF(Start!C25&gt;0,Start!C25,"")</f>
        <v>1.7</v>
      </c>
      <c r="AE97" s="65"/>
      <c r="AF97" s="65"/>
      <c r="AG97" s="65"/>
      <c r="AH97" s="65"/>
      <c r="AI97" s="65"/>
      <c r="AJ97" s="65"/>
      <c r="AK97" s="65"/>
      <c r="AL97" s="139">
        <f t="shared" si="32"/>
        <v>138.56</v>
      </c>
      <c r="AM97" s="129">
        <f t="shared" si="43"/>
        <v>136</v>
      </c>
      <c r="AN97" s="65">
        <f t="shared" si="33"/>
        <v>0</v>
      </c>
      <c r="AO97" s="65">
        <f t="shared" si="34"/>
        <v>-65.50666666666632</v>
      </c>
      <c r="AP97" s="65">
        <f t="shared" si="35"/>
        <v>115.5999999999995</v>
      </c>
      <c r="AQ97" s="65">
        <f t="shared" si="36"/>
        <v>12.466666666666841</v>
      </c>
      <c r="AR97" s="65">
        <f t="shared" si="37"/>
        <v>76</v>
      </c>
      <c r="AS97" s="65"/>
      <c r="AT97" s="65"/>
      <c r="AU97" s="65"/>
      <c r="AV97" s="139">
        <f t="shared" si="53"/>
        <v>3.2511999999999999</v>
      </c>
      <c r="AW97" s="129">
        <f t="shared" si="54"/>
        <v>96</v>
      </c>
      <c r="AX97" s="65">
        <f t="shared" si="46"/>
        <v>0</v>
      </c>
      <c r="AY97" s="53">
        <f t="shared" si="55"/>
        <v>-0.4607999999999991</v>
      </c>
      <c r="AZ97" s="53">
        <f t="shared" si="56"/>
        <v>2.5919999999999983</v>
      </c>
      <c r="BA97" s="53">
        <f t="shared" si="57"/>
        <v>-0.27999999999999969</v>
      </c>
      <c r="BB97" s="53">
        <f t="shared" si="50"/>
        <v>1.4000000000000001</v>
      </c>
      <c r="BG97" s="53">
        <f t="shared" si="58"/>
        <v>3.602819640252795</v>
      </c>
      <c r="BH97" s="53">
        <f t="shared" si="52"/>
        <v>124</v>
      </c>
      <c r="BI97" s="53">
        <f t="shared" si="38"/>
        <v>0</v>
      </c>
      <c r="BJ97" s="53">
        <f t="shared" si="39"/>
        <v>-2.8965483714143772</v>
      </c>
      <c r="BK97" s="53">
        <f t="shared" si="40"/>
        <v>15.650704910062407</v>
      </c>
      <c r="BL97" s="53">
        <f t="shared" si="41"/>
        <v>-13.792513368983286</v>
      </c>
      <c r="BM97" s="53">
        <f t="shared" si="42"/>
        <v>4.6411764705880518</v>
      </c>
      <c r="BS97" s="65"/>
      <c r="BT97" s="65"/>
      <c r="BU97" s="65"/>
    </row>
    <row r="98" spans="1:73" s="53" customFormat="1" x14ac:dyDescent="0.25">
      <c r="A98" s="61">
        <f>A97+Start!$C$13</f>
        <v>0.375</v>
      </c>
      <c r="B98" s="53">
        <f>IF(Start!C30&gt;0,Start!C30,"")</f>
        <v>110</v>
      </c>
      <c r="C98" s="55">
        <f>IF(Start!C28&gt;0,Start!C28,"")</f>
        <v>145</v>
      </c>
      <c r="D98" s="55">
        <f>IF(Start!C29&gt;0,Start!C29,"")</f>
        <v>70</v>
      </c>
      <c r="E98" s="79">
        <f>IF(Start!C31&gt;0,Start!C31,"")</f>
        <v>2.7</v>
      </c>
      <c r="AE98" s="65"/>
      <c r="AF98" s="65"/>
      <c r="AG98" s="65"/>
      <c r="AH98" s="65"/>
      <c r="AI98" s="65"/>
      <c r="AJ98" s="65"/>
      <c r="AK98" s="65"/>
      <c r="AL98" s="139">
        <f t="shared" si="32"/>
        <v>139.23562500000003</v>
      </c>
      <c r="AM98" s="129">
        <f t="shared" si="43"/>
        <v>138</v>
      </c>
      <c r="AN98" s="65">
        <f t="shared" si="33"/>
        <v>0</v>
      </c>
      <c r="AO98" s="65">
        <f t="shared" si="34"/>
        <v>-68.439374999999629</v>
      </c>
      <c r="AP98" s="65">
        <f t="shared" si="35"/>
        <v>119.02499999999948</v>
      </c>
      <c r="AQ98" s="65">
        <f t="shared" si="36"/>
        <v>12.650000000000178</v>
      </c>
      <c r="AR98" s="65">
        <f t="shared" si="37"/>
        <v>76</v>
      </c>
      <c r="AS98" s="65"/>
      <c r="AT98" s="65"/>
      <c r="AU98" s="65"/>
      <c r="AV98" s="139">
        <f t="shared" si="53"/>
        <v>3.3250875</v>
      </c>
      <c r="AW98" s="129">
        <f t="shared" si="54"/>
        <v>98</v>
      </c>
      <c r="AX98" s="65">
        <f t="shared" si="46"/>
        <v>0</v>
      </c>
      <c r="AY98" s="53">
        <f t="shared" si="55"/>
        <v>-0.49020416666666572</v>
      </c>
      <c r="AZ98" s="53">
        <f t="shared" si="56"/>
        <v>2.7011249999999984</v>
      </c>
      <c r="BA98" s="53">
        <f t="shared" si="57"/>
        <v>-0.285833333333333</v>
      </c>
      <c r="BB98" s="53">
        <f t="shared" si="50"/>
        <v>1.4000000000000001</v>
      </c>
      <c r="BG98" s="53">
        <f t="shared" si="58"/>
        <v>3.6743938381137564</v>
      </c>
      <c r="BH98" s="53">
        <f t="shared" si="52"/>
        <v>125</v>
      </c>
      <c r="BI98" s="53">
        <f t="shared" si="38"/>
        <v>0</v>
      </c>
      <c r="BJ98" s="53">
        <f t="shared" si="39"/>
        <v>-2.967192817209217</v>
      </c>
      <c r="BK98" s="53">
        <f t="shared" si="40"/>
        <v>15.904153500242266</v>
      </c>
      <c r="BL98" s="53">
        <f t="shared" si="41"/>
        <v>-13.903743315507345</v>
      </c>
      <c r="BM98" s="53">
        <f t="shared" si="42"/>
        <v>4.6411764705880518</v>
      </c>
      <c r="BS98" s="65"/>
      <c r="BT98" s="65"/>
      <c r="BU98" s="65"/>
    </row>
    <row r="99" spans="1:73" s="53" customFormat="1" x14ac:dyDescent="0.25">
      <c r="A99" s="61">
        <f>A98+Start!$C$13</f>
        <v>0.5</v>
      </c>
      <c r="B99" s="53">
        <f>IF(Start!C36&gt;0,Start!C36,"")</f>
        <v>132</v>
      </c>
      <c r="C99" s="55">
        <f>IF(Start!C34&gt;0,Start!C34,"")</f>
        <v>160</v>
      </c>
      <c r="D99" s="55">
        <f>IF(Start!C35&gt;0,Start!C35,"")</f>
        <v>75</v>
      </c>
      <c r="E99" s="79">
        <f>IF(Start!C37&gt;0,Start!C37,"")</f>
        <v>4.2</v>
      </c>
      <c r="AE99" s="65"/>
      <c r="AF99" s="65"/>
      <c r="AG99" s="65"/>
      <c r="AH99" s="65"/>
      <c r="AI99" s="65"/>
      <c r="AJ99" s="65"/>
      <c r="AK99" s="65"/>
      <c r="AL99" s="139">
        <f t="shared" si="32"/>
        <v>139.87500000000003</v>
      </c>
      <c r="AM99" s="129">
        <f t="shared" si="43"/>
        <v>140</v>
      </c>
      <c r="AN99" s="65">
        <f t="shared" si="33"/>
        <v>0</v>
      </c>
      <c r="AO99" s="65">
        <f t="shared" si="34"/>
        <v>-71.458333333332945</v>
      </c>
      <c r="AP99" s="65">
        <f t="shared" si="35"/>
        <v>122.49999999999946</v>
      </c>
      <c r="AQ99" s="65">
        <f t="shared" si="36"/>
        <v>12.833333333333513</v>
      </c>
      <c r="AR99" s="65">
        <f t="shared" si="37"/>
        <v>76</v>
      </c>
      <c r="AS99" s="65"/>
      <c r="AT99" s="65"/>
      <c r="AU99" s="65"/>
      <c r="AV99" s="139">
        <f t="shared" si="53"/>
        <v>3.4</v>
      </c>
      <c r="AW99" s="129">
        <f t="shared" si="54"/>
        <v>100</v>
      </c>
      <c r="AX99" s="65">
        <f t="shared" si="46"/>
        <v>0</v>
      </c>
      <c r="AY99" s="53">
        <f t="shared" si="55"/>
        <v>-0.52083333333333226</v>
      </c>
      <c r="AZ99" s="53">
        <f t="shared" si="56"/>
        <v>2.8124999999999982</v>
      </c>
      <c r="BA99" s="53">
        <f t="shared" si="57"/>
        <v>-0.29166666666666635</v>
      </c>
      <c r="BB99" s="53">
        <f t="shared" si="50"/>
        <v>1.4000000000000001</v>
      </c>
      <c r="BG99" s="53">
        <f t="shared" si="58"/>
        <v>3.7468643655809419</v>
      </c>
      <c r="BH99" s="53">
        <f t="shared" si="52"/>
        <v>126</v>
      </c>
      <c r="BI99" s="53">
        <f t="shared" si="38"/>
        <v>0</v>
      </c>
      <c r="BJ99" s="53">
        <f t="shared" si="39"/>
        <v>-3.0389766650458645</v>
      </c>
      <c r="BK99" s="53">
        <f t="shared" si="40"/>
        <v>16.15963782207016</v>
      </c>
      <c r="BL99" s="53">
        <f t="shared" si="41"/>
        <v>-14.014973262031404</v>
      </c>
      <c r="BM99" s="53">
        <f t="shared" si="42"/>
        <v>4.6411764705880518</v>
      </c>
      <c r="BS99" s="65"/>
      <c r="BT99" s="65"/>
      <c r="BU99" s="65"/>
    </row>
    <row r="100" spans="1:73" s="53" customFormat="1" x14ac:dyDescent="0.25">
      <c r="A100" s="61">
        <f>A99+Start!$C$13</f>
        <v>0.625</v>
      </c>
      <c r="B100" s="53" t="str">
        <f>IF(Start!C42&gt;0,Start!C42,"")</f>
        <v/>
      </c>
      <c r="C100" s="55" t="str">
        <f>IF(Start!C40&gt;0,Start!C40,"")</f>
        <v/>
      </c>
      <c r="D100" s="55" t="str">
        <f>IF(Start!C41&gt;0,Start!C41,"")</f>
        <v/>
      </c>
      <c r="E100" s="79" t="str">
        <f>IF(Start!C43&gt;0,Start!C43,"")</f>
        <v/>
      </c>
      <c r="AE100" s="65"/>
      <c r="AF100" s="65"/>
      <c r="AG100" s="65"/>
      <c r="AH100" s="65"/>
      <c r="AI100" s="65"/>
      <c r="AJ100" s="65"/>
      <c r="AK100" s="65"/>
      <c r="AL100" s="139">
        <f t="shared" si="32"/>
        <v>140.47687500000004</v>
      </c>
      <c r="AM100" s="129">
        <f t="shared" si="43"/>
        <v>142</v>
      </c>
      <c r="AN100" s="65">
        <f t="shared" si="33"/>
        <v>0</v>
      </c>
      <c r="AO100" s="65">
        <f t="shared" si="34"/>
        <v>-74.564791666666267</v>
      </c>
      <c r="AP100" s="65">
        <f t="shared" si="35"/>
        <v>126.02499999999945</v>
      </c>
      <c r="AQ100" s="65">
        <f t="shared" si="36"/>
        <v>13.016666666666849</v>
      </c>
      <c r="AR100" s="65">
        <f t="shared" si="37"/>
        <v>76</v>
      </c>
      <c r="AS100" s="65"/>
      <c r="AT100" s="65"/>
      <c r="AU100" s="65"/>
      <c r="AV100" s="139">
        <f t="shared" si="53"/>
        <v>3.4759124999999997</v>
      </c>
      <c r="AW100" s="129">
        <f t="shared" si="54"/>
        <v>102</v>
      </c>
      <c r="AX100" s="65">
        <f t="shared" si="46"/>
        <v>0</v>
      </c>
      <c r="AY100" s="53">
        <f t="shared" si="55"/>
        <v>-0.55271249999999894</v>
      </c>
      <c r="AZ100" s="53">
        <f t="shared" si="56"/>
        <v>2.9261249999999981</v>
      </c>
      <c r="BA100" s="53">
        <f t="shared" si="57"/>
        <v>-0.29749999999999965</v>
      </c>
      <c r="BB100" s="53">
        <f t="shared" si="50"/>
        <v>1.4000000000000001</v>
      </c>
      <c r="BG100" s="53">
        <f t="shared" si="58"/>
        <v>3.8202221074380152</v>
      </c>
      <c r="BH100" s="53">
        <f t="shared" si="52"/>
        <v>127</v>
      </c>
      <c r="BI100" s="53">
        <f t="shared" si="38"/>
        <v>0</v>
      </c>
      <c r="BJ100" s="53">
        <f t="shared" si="39"/>
        <v>-3.1119090301406551</v>
      </c>
      <c r="BK100" s="53">
        <f t="shared" si="40"/>
        <v>16.417157875546081</v>
      </c>
      <c r="BL100" s="53">
        <f t="shared" si="41"/>
        <v>-14.126203208555463</v>
      </c>
      <c r="BM100" s="53">
        <f t="shared" si="42"/>
        <v>4.6411764705880518</v>
      </c>
      <c r="BS100" s="65"/>
      <c r="BT100" s="65"/>
      <c r="BU100" s="65"/>
    </row>
    <row r="101" spans="1:73" s="53" customFormat="1" x14ac:dyDescent="0.25">
      <c r="A101" s="61">
        <f>A100+Start!$C$13</f>
        <v>0.75</v>
      </c>
      <c r="B101" s="53" t="str">
        <f>IF(Start!C48&gt;0,Start!C48,"")</f>
        <v/>
      </c>
      <c r="C101" s="55" t="str">
        <f>IF(Start!C46&gt;0,Start!C46,"")</f>
        <v/>
      </c>
      <c r="D101" s="55" t="str">
        <f>IF(Start!C47&gt;0,Start!C47,"")</f>
        <v/>
      </c>
      <c r="E101" s="79" t="str">
        <f>IF(Start!C49&gt;0,Start!C49,"")</f>
        <v/>
      </c>
      <c r="AE101" s="65"/>
      <c r="AF101" s="65"/>
      <c r="AG101" s="65"/>
      <c r="AH101" s="65"/>
      <c r="AI101" s="65"/>
      <c r="AJ101" s="65"/>
      <c r="AK101" s="65"/>
      <c r="AL101" s="139">
        <f t="shared" si="32"/>
        <v>141.04000000000002</v>
      </c>
      <c r="AM101" s="129">
        <f t="shared" si="43"/>
        <v>144</v>
      </c>
      <c r="AN101" s="65">
        <f t="shared" si="33"/>
        <v>0</v>
      </c>
      <c r="AO101" s="65">
        <f t="shared" si="34"/>
        <v>-77.759999999999579</v>
      </c>
      <c r="AP101" s="65">
        <f t="shared" si="35"/>
        <v>129.59999999999943</v>
      </c>
      <c r="AQ101" s="65">
        <f t="shared" si="36"/>
        <v>13.200000000000184</v>
      </c>
      <c r="AR101" s="65">
        <f t="shared" si="37"/>
        <v>76</v>
      </c>
      <c r="AS101" s="65"/>
      <c r="AT101" s="65"/>
      <c r="AU101" s="65"/>
      <c r="AV101" s="139">
        <f t="shared" si="53"/>
        <v>3.5527999999999995</v>
      </c>
      <c r="AW101" s="129">
        <f t="shared" si="54"/>
        <v>104</v>
      </c>
      <c r="AX101" s="65">
        <f t="shared" si="46"/>
        <v>0</v>
      </c>
      <c r="AY101" s="53">
        <f t="shared" si="55"/>
        <v>-0.58586666666666554</v>
      </c>
      <c r="AZ101" s="53">
        <f t="shared" si="56"/>
        <v>3.041999999999998</v>
      </c>
      <c r="BA101" s="53">
        <f t="shared" si="57"/>
        <v>-0.30333333333333301</v>
      </c>
      <c r="BB101" s="53">
        <f t="shared" si="50"/>
        <v>1.4000000000000001</v>
      </c>
      <c r="BG101" s="53">
        <f t="shared" si="58"/>
        <v>3.8944579484686432</v>
      </c>
      <c r="BH101" s="53">
        <f t="shared" si="52"/>
        <v>128</v>
      </c>
      <c r="BI101" s="53">
        <f t="shared" si="38"/>
        <v>0</v>
      </c>
      <c r="BJ101" s="53">
        <f t="shared" si="39"/>
        <v>-3.185999027709923</v>
      </c>
      <c r="BK101" s="53">
        <f t="shared" si="40"/>
        <v>16.676713660670035</v>
      </c>
      <c r="BL101" s="53">
        <f t="shared" si="41"/>
        <v>-14.237433155079522</v>
      </c>
      <c r="BM101" s="53">
        <f t="shared" si="42"/>
        <v>4.6411764705880518</v>
      </c>
      <c r="BS101" s="65"/>
      <c r="BT101" s="65"/>
      <c r="BU101" s="65"/>
    </row>
    <row r="102" spans="1:73" s="53" customFormat="1" x14ac:dyDescent="0.25">
      <c r="A102" s="61">
        <f>A101+Start!$C$13</f>
        <v>0.875</v>
      </c>
      <c r="B102" s="53" t="str">
        <f>IF(Start!C54&gt;0,Start!C54,"")</f>
        <v/>
      </c>
      <c r="C102" s="55" t="str">
        <f>IF(Start!C52&gt;0,Start!C52,"")</f>
        <v/>
      </c>
      <c r="D102" s="55" t="str">
        <f>IF(Start!C53&gt;0,Start!C53,"")</f>
        <v/>
      </c>
      <c r="E102" s="79" t="str">
        <f>IF(Start!C55&gt;0,Start!C55,"")</f>
        <v/>
      </c>
      <c r="AE102" s="65"/>
      <c r="AF102" s="65"/>
      <c r="AG102" s="65"/>
      <c r="AH102" s="65"/>
      <c r="AI102" s="65"/>
      <c r="AJ102" s="65"/>
      <c r="AK102" s="65"/>
      <c r="AL102" s="139">
        <f t="shared" si="32"/>
        <v>141.56312500000007</v>
      </c>
      <c r="AM102" s="129">
        <f t="shared" si="43"/>
        <v>146</v>
      </c>
      <c r="AN102" s="65">
        <f t="shared" si="33"/>
        <v>0</v>
      </c>
      <c r="AO102" s="65">
        <f t="shared" si="34"/>
        <v>-81.045208333332894</v>
      </c>
      <c r="AP102" s="65">
        <f t="shared" si="35"/>
        <v>133.22499999999943</v>
      </c>
      <c r="AQ102" s="65">
        <f t="shared" si="36"/>
        <v>13.383333333333521</v>
      </c>
      <c r="AR102" s="65">
        <f t="shared" si="37"/>
        <v>76</v>
      </c>
      <c r="AS102" s="65"/>
      <c r="AT102" s="65"/>
      <c r="AU102" s="65"/>
      <c r="AV102" s="139">
        <f t="shared" si="53"/>
        <v>3.6306374999999997</v>
      </c>
      <c r="AW102" s="129">
        <f t="shared" si="54"/>
        <v>106</v>
      </c>
      <c r="AX102" s="65">
        <f t="shared" si="46"/>
        <v>0</v>
      </c>
      <c r="AY102" s="53">
        <f t="shared" si="55"/>
        <v>-0.6203208333333321</v>
      </c>
      <c r="AZ102" s="53">
        <f t="shared" si="56"/>
        <v>3.1601249999999981</v>
      </c>
      <c r="BA102" s="53">
        <f t="shared" si="57"/>
        <v>-0.30916666666666631</v>
      </c>
      <c r="BB102" s="53">
        <f t="shared" si="50"/>
        <v>1.4000000000000001</v>
      </c>
      <c r="BG102" s="53">
        <f t="shared" si="58"/>
        <v>3.9695627734564898</v>
      </c>
      <c r="BH102" s="53">
        <f t="shared" si="52"/>
        <v>129</v>
      </c>
      <c r="BI102" s="53">
        <f t="shared" si="38"/>
        <v>0</v>
      </c>
      <c r="BJ102" s="53">
        <f t="shared" si="39"/>
        <v>-3.2612557729700025</v>
      </c>
      <c r="BK102" s="53">
        <f t="shared" si="40"/>
        <v>16.938305177442022</v>
      </c>
      <c r="BL102" s="53">
        <f t="shared" si="41"/>
        <v>-14.348663101603581</v>
      </c>
      <c r="BM102" s="53">
        <f t="shared" si="42"/>
        <v>4.6411764705880518</v>
      </c>
      <c r="BS102" s="65"/>
      <c r="BT102" s="65"/>
      <c r="BU102" s="65"/>
    </row>
    <row r="103" spans="1:73" s="53" customFormat="1" x14ac:dyDescent="0.25">
      <c r="A103" s="53" t="s">
        <v>32</v>
      </c>
      <c r="B103" s="53">
        <f>IF(Start!C60="","",Start!C60)</f>
        <v>124</v>
      </c>
      <c r="C103" s="53">
        <f>IF(Start!C58="","",Start!C58)</f>
        <v>130</v>
      </c>
      <c r="D103" s="53">
        <f>IF(Start!C59="","",Start!C59)</f>
        <v>75</v>
      </c>
      <c r="E103" s="79" t="str">
        <f>IF(Start!C61&gt;0,Start!C61,"")</f>
        <v/>
      </c>
      <c r="AE103" s="65"/>
      <c r="AF103" s="65"/>
      <c r="AG103" s="65"/>
      <c r="AH103" s="65"/>
      <c r="AI103" s="65"/>
      <c r="AJ103" s="65"/>
      <c r="AK103" s="65"/>
      <c r="AL103" s="139">
        <f t="shared" si="32"/>
        <v>142.04500000000007</v>
      </c>
      <c r="AM103" s="129">
        <f t="shared" si="43"/>
        <v>148</v>
      </c>
      <c r="AN103" s="65">
        <f t="shared" si="33"/>
        <v>0</v>
      </c>
      <c r="AO103" s="65">
        <f t="shared" si="34"/>
        <v>-84.421666666666212</v>
      </c>
      <c r="AP103" s="65">
        <f t="shared" si="35"/>
        <v>136.89999999999941</v>
      </c>
      <c r="AQ103" s="65">
        <f t="shared" si="36"/>
        <v>13.566666666666857</v>
      </c>
      <c r="AR103" s="65">
        <f t="shared" si="37"/>
        <v>76</v>
      </c>
      <c r="AS103" s="65"/>
      <c r="AT103" s="65"/>
      <c r="AU103" s="65"/>
      <c r="AV103" s="139">
        <f t="shared" si="53"/>
        <v>3.7093999999999996</v>
      </c>
      <c r="AW103" s="129">
        <f t="shared" si="54"/>
        <v>108</v>
      </c>
      <c r="AX103" s="65">
        <f t="shared" si="46"/>
        <v>0</v>
      </c>
      <c r="AY103" s="53">
        <f t="shared" si="55"/>
        <v>-0.65609999999999868</v>
      </c>
      <c r="AZ103" s="53">
        <f t="shared" si="56"/>
        <v>3.2804999999999978</v>
      </c>
      <c r="BA103" s="53">
        <f t="shared" si="57"/>
        <v>-0.31499999999999961</v>
      </c>
      <c r="BB103" s="53">
        <f t="shared" si="50"/>
        <v>1.4000000000000001</v>
      </c>
      <c r="BG103" s="53">
        <f t="shared" si="58"/>
        <v>4.0455274671852202</v>
      </c>
      <c r="BH103" s="53">
        <f t="shared" si="52"/>
        <v>130</v>
      </c>
      <c r="BI103" s="53">
        <f t="shared" si="38"/>
        <v>0</v>
      </c>
      <c r="BJ103" s="53">
        <f t="shared" si="39"/>
        <v>-3.3376883811372284</v>
      </c>
      <c r="BK103" s="53">
        <f t="shared" si="40"/>
        <v>17.201932425862037</v>
      </c>
      <c r="BL103" s="53">
        <f t="shared" si="41"/>
        <v>-14.45989304812764</v>
      </c>
      <c r="BM103" s="53">
        <f t="shared" si="42"/>
        <v>4.6411764705880518</v>
      </c>
      <c r="BS103" s="65"/>
      <c r="BT103" s="65"/>
      <c r="BU103" s="65"/>
    </row>
    <row r="104" spans="1:73" s="53" customFormat="1" x14ac:dyDescent="0.25">
      <c r="A104" s="53" t="s">
        <v>31</v>
      </c>
      <c r="B104" s="53">
        <f>IF(Start!C66="","",Start!C66)</f>
        <v>100</v>
      </c>
      <c r="C104" s="53">
        <f>IF(Start!C64="","",Start!C64)</f>
        <v>120</v>
      </c>
      <c r="D104" s="53">
        <f>IF(Start!C65="","",Start!C65)</f>
        <v>70</v>
      </c>
      <c r="E104" s="79" t="str">
        <f>IF(Start!C67&gt;0,Start!C67,"")</f>
        <v/>
      </c>
      <c r="AE104" s="65"/>
      <c r="AF104" s="65"/>
      <c r="AG104" s="65"/>
      <c r="AH104" s="65"/>
      <c r="AI104" s="65"/>
      <c r="AJ104" s="65"/>
      <c r="AK104" s="65"/>
      <c r="AL104" s="139">
        <f t="shared" si="32"/>
        <v>142.48437500000003</v>
      </c>
      <c r="AM104" s="129">
        <f t="shared" si="43"/>
        <v>150</v>
      </c>
      <c r="AN104" s="65">
        <f t="shared" si="33"/>
        <v>0</v>
      </c>
      <c r="AO104" s="65">
        <f t="shared" si="34"/>
        <v>-87.890624999999531</v>
      </c>
      <c r="AP104" s="65">
        <f t="shared" si="35"/>
        <v>140.62499999999937</v>
      </c>
      <c r="AQ104" s="65">
        <f t="shared" si="36"/>
        <v>13.750000000000192</v>
      </c>
      <c r="AR104" s="65">
        <f t="shared" si="37"/>
        <v>76</v>
      </c>
      <c r="AS104" s="65"/>
      <c r="AT104" s="65"/>
      <c r="AU104" s="65"/>
      <c r="AV104" s="139">
        <f t="shared" si="53"/>
        <v>3.7890625</v>
      </c>
      <c r="AW104" s="129">
        <f t="shared" si="54"/>
        <v>110</v>
      </c>
      <c r="AX104" s="65">
        <f t="shared" si="46"/>
        <v>0</v>
      </c>
      <c r="AY104" s="53">
        <f t="shared" si="55"/>
        <v>-0.69322916666666534</v>
      </c>
      <c r="AZ104" s="53">
        <f t="shared" si="56"/>
        <v>3.403124999999998</v>
      </c>
      <c r="BA104" s="53">
        <f t="shared" si="57"/>
        <v>-0.32083333333333297</v>
      </c>
      <c r="BB104" s="53">
        <f t="shared" si="50"/>
        <v>1.4000000000000001</v>
      </c>
      <c r="BG104" s="53">
        <f t="shared" si="58"/>
        <v>4.1223429144385015</v>
      </c>
      <c r="BH104" s="53">
        <f t="shared" si="52"/>
        <v>131</v>
      </c>
      <c r="BI104" s="53">
        <f t="shared" si="38"/>
        <v>0</v>
      </c>
      <c r="BJ104" s="53">
        <f t="shared" si="39"/>
        <v>-3.4153059674279351</v>
      </c>
      <c r="BK104" s="53">
        <f t="shared" si="40"/>
        <v>17.467595405930084</v>
      </c>
      <c r="BL104" s="53">
        <f t="shared" si="41"/>
        <v>-14.571122994651699</v>
      </c>
      <c r="BM104" s="53">
        <f t="shared" si="42"/>
        <v>4.6411764705880518</v>
      </c>
      <c r="BS104" s="65"/>
      <c r="BT104" s="65"/>
      <c r="BU104" s="65"/>
    </row>
    <row r="105" spans="1:73" s="53" customFormat="1" x14ac:dyDescent="0.25">
      <c r="AE105" s="65"/>
      <c r="AF105" s="65"/>
      <c r="AG105" s="65"/>
      <c r="AH105" s="65"/>
      <c r="AI105" s="65"/>
      <c r="AJ105" s="65"/>
      <c r="AK105" s="65"/>
      <c r="AL105" s="139">
        <f t="shared" si="32"/>
        <v>142.88000000000008</v>
      </c>
      <c r="AM105" s="129">
        <f t="shared" si="43"/>
        <v>152</v>
      </c>
      <c r="AN105" s="65">
        <f t="shared" si="33"/>
        <v>0</v>
      </c>
      <c r="AO105" s="65">
        <f t="shared" si="34"/>
        <v>-91.453333333332836</v>
      </c>
      <c r="AP105" s="65">
        <f t="shared" si="35"/>
        <v>144.39999999999938</v>
      </c>
      <c r="AQ105" s="65">
        <f t="shared" si="36"/>
        <v>13.933333333333529</v>
      </c>
      <c r="AR105" s="65">
        <f t="shared" si="37"/>
        <v>76</v>
      </c>
      <c r="AS105" s="65"/>
      <c r="AT105" s="65"/>
      <c r="AU105" s="65"/>
      <c r="AV105" s="139">
        <f t="shared" si="53"/>
        <v>3.8696000000000002</v>
      </c>
      <c r="AW105" s="129">
        <f t="shared" si="54"/>
        <v>112</v>
      </c>
      <c r="AX105" s="65">
        <f t="shared" si="46"/>
        <v>0</v>
      </c>
      <c r="AY105" s="53">
        <f t="shared" si="55"/>
        <v>-0.7317333333333319</v>
      </c>
      <c r="AZ105" s="53">
        <f t="shared" si="56"/>
        <v>3.5279999999999978</v>
      </c>
      <c r="BA105" s="53">
        <f t="shared" si="57"/>
        <v>-0.32666666666666627</v>
      </c>
      <c r="BB105" s="53">
        <f t="shared" si="50"/>
        <v>1.4000000000000001</v>
      </c>
      <c r="BG105" s="53">
        <f t="shared" si="58"/>
        <v>4.1999999999999975</v>
      </c>
      <c r="BH105" s="53">
        <f t="shared" si="52"/>
        <v>132</v>
      </c>
      <c r="BI105" s="53">
        <f t="shared" si="38"/>
        <v>0</v>
      </c>
      <c r="BJ105" s="53">
        <f t="shared" si="39"/>
        <v>-3.4941176470584567</v>
      </c>
      <c r="BK105" s="53">
        <f t="shared" si="40"/>
        <v>17.735294117646159</v>
      </c>
      <c r="BL105" s="53">
        <f t="shared" si="41"/>
        <v>-14.682352941175758</v>
      </c>
      <c r="BM105" s="53">
        <f t="shared" si="42"/>
        <v>4.6411764705880518</v>
      </c>
      <c r="BS105" s="65"/>
      <c r="BT105" s="65"/>
      <c r="BU105" s="65"/>
    </row>
    <row r="106" spans="1:73" s="53" customFormat="1" x14ac:dyDescent="0.25">
      <c r="AE106" s="65"/>
      <c r="AF106" s="65"/>
      <c r="AG106" s="65"/>
      <c r="AH106" s="65"/>
      <c r="AI106" s="65"/>
      <c r="AJ106" s="65"/>
      <c r="AK106" s="65"/>
      <c r="AL106" s="139">
        <f t="shared" si="32"/>
        <v>143.23062500000003</v>
      </c>
      <c r="AM106" s="129">
        <f t="shared" si="43"/>
        <v>154</v>
      </c>
      <c r="AN106" s="65">
        <f t="shared" si="33"/>
        <v>0</v>
      </c>
      <c r="AO106" s="65">
        <f t="shared" si="34"/>
        <v>-95.111041666666154</v>
      </c>
      <c r="AP106" s="65">
        <f t="shared" si="35"/>
        <v>148.22499999999934</v>
      </c>
      <c r="AQ106" s="65">
        <f t="shared" si="36"/>
        <v>14.116666666666864</v>
      </c>
      <c r="AR106" s="65">
        <f t="shared" si="37"/>
        <v>76</v>
      </c>
      <c r="AS106" s="65"/>
      <c r="AT106" s="65"/>
      <c r="AU106" s="65"/>
      <c r="AV106" s="139">
        <f t="shared" si="53"/>
        <v>3.9509875000000001</v>
      </c>
      <c r="AW106" s="129">
        <f t="shared" si="54"/>
        <v>114</v>
      </c>
      <c r="AX106" s="65">
        <f t="shared" si="46"/>
        <v>0</v>
      </c>
      <c r="AY106" s="53">
        <f t="shared" si="55"/>
        <v>-0.77163749999999842</v>
      </c>
      <c r="AZ106" s="53">
        <f t="shared" si="56"/>
        <v>3.6551249999999977</v>
      </c>
      <c r="BA106" s="53">
        <f t="shared" si="57"/>
        <v>-0.33249999999999963</v>
      </c>
      <c r="BB106" s="53">
        <f t="shared" si="50"/>
        <v>1.4000000000000001</v>
      </c>
      <c r="BG106" s="53">
        <f t="shared" si="58"/>
        <v>4.2784896086533788</v>
      </c>
      <c r="BH106" s="53">
        <f t="shared" si="52"/>
        <v>133</v>
      </c>
      <c r="BI106" s="53">
        <f t="shared" si="38"/>
        <v>0</v>
      </c>
      <c r="BJ106" s="53">
        <f t="shared" si="39"/>
        <v>-3.5741325352451279</v>
      </c>
      <c r="BK106" s="53">
        <f t="shared" si="40"/>
        <v>18.00502856101027</v>
      </c>
      <c r="BL106" s="53">
        <f t="shared" si="41"/>
        <v>-14.793582887699817</v>
      </c>
      <c r="BM106" s="53">
        <f t="shared" si="42"/>
        <v>4.6411764705880518</v>
      </c>
      <c r="BS106" s="65"/>
      <c r="BT106" s="65"/>
      <c r="BU106" s="65"/>
    </row>
    <row r="107" spans="1:73" x14ac:dyDescent="0.25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L107" s="139">
        <f t="shared" si="32"/>
        <v>143.53500000000008</v>
      </c>
      <c r="AM107" s="129">
        <f t="shared" si="43"/>
        <v>156</v>
      </c>
      <c r="AN107" s="65">
        <f t="shared" si="33"/>
        <v>0</v>
      </c>
      <c r="AO107" s="65">
        <f t="shared" si="34"/>
        <v>-98.864999999999469</v>
      </c>
      <c r="AP107" s="65">
        <f t="shared" si="35"/>
        <v>152.09999999999934</v>
      </c>
      <c r="AQ107" s="65">
        <f t="shared" si="36"/>
        <v>14.3000000000002</v>
      </c>
      <c r="AR107" s="65">
        <f t="shared" si="37"/>
        <v>76</v>
      </c>
      <c r="AV107" s="139">
        <f t="shared" si="53"/>
        <v>4.0331999999999999</v>
      </c>
      <c r="AW107" s="129">
        <f t="shared" si="54"/>
        <v>116</v>
      </c>
      <c r="AX107" s="65">
        <f t="shared" si="46"/>
        <v>0</v>
      </c>
      <c r="AY107" s="53">
        <f t="shared" si="55"/>
        <v>-0.81296666666666506</v>
      </c>
      <c r="AZ107" s="53">
        <f t="shared" si="56"/>
        <v>3.7844999999999973</v>
      </c>
      <c r="BA107" s="53">
        <f t="shared" si="57"/>
        <v>-0.33833333333333293</v>
      </c>
      <c r="BB107" s="53">
        <f t="shared" si="50"/>
        <v>1.4000000000000001</v>
      </c>
      <c r="BG107" s="53">
        <f t="shared" si="58"/>
        <v>4.3578026251823054</v>
      </c>
      <c r="BH107" s="53">
        <f t="shared" si="52"/>
        <v>134</v>
      </c>
      <c r="BI107" s="53">
        <f t="shared" si="38"/>
        <v>0</v>
      </c>
      <c r="BJ107" s="53">
        <f t="shared" si="39"/>
        <v>-3.6553597472042831</v>
      </c>
      <c r="BK107" s="53">
        <f t="shared" si="40"/>
        <v>18.27679873602241</v>
      </c>
      <c r="BL107" s="53">
        <f t="shared" si="41"/>
        <v>-14.904812834223874</v>
      </c>
      <c r="BM107" s="53">
        <f t="shared" si="42"/>
        <v>4.6411764705880518</v>
      </c>
    </row>
    <row r="108" spans="1:73" x14ac:dyDescent="0.25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L108" s="139">
        <f t="shared" si="32"/>
        <v>143.79187500000006</v>
      </c>
      <c r="AM108" s="129">
        <f t="shared" si="43"/>
        <v>158</v>
      </c>
      <c r="AN108" s="65">
        <f t="shared" si="33"/>
        <v>0</v>
      </c>
      <c r="AO108" s="65">
        <f t="shared" si="34"/>
        <v>-102.71645833333278</v>
      </c>
      <c r="AP108" s="65">
        <f t="shared" si="35"/>
        <v>156.02499999999932</v>
      </c>
      <c r="AQ108" s="65">
        <f t="shared" si="36"/>
        <v>14.483333333333537</v>
      </c>
      <c r="AR108" s="65">
        <f t="shared" si="37"/>
        <v>76</v>
      </c>
      <c r="AV108" s="139">
        <f t="shared" si="53"/>
        <v>4.1162124999999996</v>
      </c>
      <c r="AW108" s="129">
        <f t="shared" si="54"/>
        <v>118</v>
      </c>
      <c r="AX108" s="65">
        <f t="shared" si="46"/>
        <v>0</v>
      </c>
      <c r="AY108" s="53">
        <f t="shared" si="55"/>
        <v>-0.85574583333333165</v>
      </c>
      <c r="AZ108" s="53">
        <f t="shared" si="56"/>
        <v>3.9161249999999974</v>
      </c>
      <c r="BA108" s="53">
        <f t="shared" si="57"/>
        <v>-0.34416666666666629</v>
      </c>
      <c r="BB108" s="53">
        <f t="shared" si="50"/>
        <v>1.4000000000000001</v>
      </c>
      <c r="BG108" s="53">
        <f t="shared" si="58"/>
        <v>4.437929934370441</v>
      </c>
      <c r="BH108" s="53">
        <f t="shared" si="52"/>
        <v>135</v>
      </c>
      <c r="BI108" s="53">
        <f t="shared" si="38"/>
        <v>0</v>
      </c>
      <c r="BJ108" s="53">
        <f t="shared" si="39"/>
        <v>-3.7378083981522567</v>
      </c>
      <c r="BK108" s="53">
        <f t="shared" si="40"/>
        <v>18.550604642682579</v>
      </c>
      <c r="BL108" s="53">
        <f t="shared" si="41"/>
        <v>-15.016042780747933</v>
      </c>
      <c r="BM108" s="53">
        <f t="shared" si="42"/>
        <v>4.6411764705880518</v>
      </c>
    </row>
    <row r="109" spans="1:73" x14ac:dyDescent="0.25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L109" s="139">
        <f t="shared" si="32"/>
        <v>144.00000000000006</v>
      </c>
      <c r="AM109" s="129">
        <f t="shared" si="43"/>
        <v>160</v>
      </c>
      <c r="AN109" s="65">
        <f t="shared" si="33"/>
        <v>0</v>
      </c>
      <c r="AO109" s="65">
        <f t="shared" si="34"/>
        <v>-106.66666666666609</v>
      </c>
      <c r="AP109" s="65">
        <f t="shared" si="35"/>
        <v>159.99999999999929</v>
      </c>
      <c r="AQ109" s="65">
        <f t="shared" si="36"/>
        <v>14.666666666666872</v>
      </c>
      <c r="AR109" s="65">
        <f t="shared" si="37"/>
        <v>76</v>
      </c>
      <c r="AV109" s="139">
        <f t="shared" si="53"/>
        <v>4.1999999999999993</v>
      </c>
      <c r="AW109" s="129">
        <f t="shared" si="54"/>
        <v>120</v>
      </c>
      <c r="AX109" s="65">
        <f t="shared" si="46"/>
        <v>0</v>
      </c>
      <c r="AY109" s="53">
        <f t="shared" si="55"/>
        <v>-0.89999999999999825</v>
      </c>
      <c r="AZ109" s="53">
        <f t="shared" si="56"/>
        <v>4.0499999999999972</v>
      </c>
      <c r="BA109" s="53">
        <f t="shared" si="57"/>
        <v>-0.34999999999999959</v>
      </c>
      <c r="BB109" s="53">
        <f t="shared" si="50"/>
        <v>1.4000000000000001</v>
      </c>
      <c r="BG109" s="53">
        <f t="shared" si="58"/>
        <v>4.5188624210014599</v>
      </c>
      <c r="BH109" s="53">
        <f t="shared" si="52"/>
        <v>136</v>
      </c>
      <c r="BI109" s="53">
        <f t="shared" si="38"/>
        <v>0</v>
      </c>
      <c r="BJ109" s="53">
        <f t="shared" si="39"/>
        <v>-3.8214876033053837</v>
      </c>
      <c r="BK109" s="53">
        <f t="shared" si="40"/>
        <v>18.826446280990783</v>
      </c>
      <c r="BL109" s="53">
        <f t="shared" si="41"/>
        <v>-15.127272727271992</v>
      </c>
      <c r="BM109" s="53">
        <f t="shared" si="42"/>
        <v>4.6411764705880518</v>
      </c>
    </row>
    <row r="110" spans="1:73" x14ac:dyDescent="0.25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L110" s="139">
        <f t="shared" si="32"/>
        <v>144.15812500000007</v>
      </c>
      <c r="AM110" s="129">
        <f t="shared" si="43"/>
        <v>162</v>
      </c>
      <c r="AN110" s="65">
        <f t="shared" si="33"/>
        <v>0</v>
      </c>
      <c r="AO110" s="65">
        <f t="shared" si="34"/>
        <v>-110.7168749999994</v>
      </c>
      <c r="AP110" s="65">
        <f t="shared" si="35"/>
        <v>164.02499999999927</v>
      </c>
      <c r="AQ110" s="65">
        <f t="shared" si="36"/>
        <v>14.850000000000207</v>
      </c>
      <c r="AR110" s="65">
        <f t="shared" si="37"/>
        <v>76</v>
      </c>
      <c r="AV110" s="139">
        <f t="shared" si="53"/>
        <v>4.284537499999999</v>
      </c>
      <c r="AW110" s="129">
        <f t="shared" si="54"/>
        <v>122</v>
      </c>
      <c r="AX110" s="65">
        <f t="shared" si="46"/>
        <v>0</v>
      </c>
      <c r="AY110" s="53">
        <f t="shared" si="55"/>
        <v>-0.94575416666666479</v>
      </c>
      <c r="AZ110" s="53">
        <f t="shared" si="56"/>
        <v>4.186124999999997</v>
      </c>
      <c r="BA110" s="53">
        <f t="shared" si="57"/>
        <v>-0.35583333333333295</v>
      </c>
      <c r="BB110" s="53">
        <f t="shared" si="50"/>
        <v>1.4000000000000001</v>
      </c>
      <c r="BG110" s="53">
        <f t="shared" si="58"/>
        <v>4.6005909698590202</v>
      </c>
      <c r="BH110" s="53">
        <f t="shared" si="52"/>
        <v>137</v>
      </c>
      <c r="BI110" s="53">
        <f t="shared" si="38"/>
        <v>0</v>
      </c>
      <c r="BJ110" s="53">
        <f t="shared" si="39"/>
        <v>-3.9064064778799983</v>
      </c>
      <c r="BK110" s="53">
        <f t="shared" si="40"/>
        <v>19.104323650947016</v>
      </c>
      <c r="BL110" s="53">
        <f t="shared" si="41"/>
        <v>-15.238502673796051</v>
      </c>
      <c r="BM110" s="53">
        <f t="shared" si="42"/>
        <v>4.6411764705880518</v>
      </c>
    </row>
    <row r="111" spans="1:73" x14ac:dyDescent="0.25">
      <c r="A111" s="65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L111" s="139">
        <f t="shared" si="32"/>
        <v>144.2650000000001</v>
      </c>
      <c r="AM111" s="129">
        <f t="shared" si="43"/>
        <v>164</v>
      </c>
      <c r="AN111" s="65">
        <f t="shared" si="33"/>
        <v>0</v>
      </c>
      <c r="AO111" s="65">
        <f t="shared" si="34"/>
        <v>-114.86833333333271</v>
      </c>
      <c r="AP111" s="65">
        <f t="shared" si="35"/>
        <v>168.09999999999926</v>
      </c>
      <c r="AQ111" s="65">
        <f t="shared" si="36"/>
        <v>15.033333333333545</v>
      </c>
      <c r="AR111" s="65">
        <f t="shared" si="37"/>
        <v>76</v>
      </c>
      <c r="AV111" s="139">
        <f t="shared" si="53"/>
        <v>4.3697999999999997</v>
      </c>
      <c r="AW111" s="129">
        <f t="shared" si="54"/>
        <v>124</v>
      </c>
      <c r="AX111" s="65">
        <f t="shared" si="46"/>
        <v>0</v>
      </c>
      <c r="AY111" s="53">
        <f t="shared" si="55"/>
        <v>-0.99303333333333133</v>
      </c>
      <c r="AZ111" s="53">
        <f t="shared" si="56"/>
        <v>4.3244999999999969</v>
      </c>
      <c r="BA111" s="53">
        <f t="shared" si="57"/>
        <v>-0.36166666666666625</v>
      </c>
      <c r="BB111" s="53">
        <f t="shared" si="50"/>
        <v>1.4000000000000001</v>
      </c>
      <c r="BG111" s="53">
        <f t="shared" si="58"/>
        <v>4.6831064657267856</v>
      </c>
      <c r="BH111" s="53">
        <f t="shared" si="52"/>
        <v>138</v>
      </c>
      <c r="BI111" s="53">
        <f t="shared" si="38"/>
        <v>0</v>
      </c>
      <c r="BJ111" s="53">
        <f t="shared" si="39"/>
        <v>-3.9925741370924341</v>
      </c>
      <c r="BK111" s="53">
        <f t="shared" si="40"/>
        <v>19.384236752551278</v>
      </c>
      <c r="BL111" s="53">
        <f t="shared" si="41"/>
        <v>-15.349732620320109</v>
      </c>
      <c r="BM111" s="53">
        <f t="shared" si="42"/>
        <v>4.6411764705880518</v>
      </c>
    </row>
    <row r="112" spans="1:73" x14ac:dyDescent="0.25">
      <c r="A112" s="65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L112" s="139">
        <f t="shared" si="32"/>
        <v>144.31937500000009</v>
      </c>
      <c r="AM112" s="129">
        <f t="shared" si="43"/>
        <v>166</v>
      </c>
      <c r="AN112" s="65">
        <f t="shared" si="33"/>
        <v>0</v>
      </c>
      <c r="AO112" s="65">
        <f t="shared" si="34"/>
        <v>-119.12229166666603</v>
      </c>
      <c r="AP112" s="65">
        <f t="shared" si="35"/>
        <v>172.22499999999926</v>
      </c>
      <c r="AQ112" s="65">
        <f t="shared" si="36"/>
        <v>15.21666666666688</v>
      </c>
      <c r="AR112" s="65">
        <f t="shared" si="37"/>
        <v>76</v>
      </c>
      <c r="AV112" s="139">
        <f t="shared" si="53"/>
        <v>4.4557624999999996</v>
      </c>
      <c r="AW112" s="129">
        <f t="shared" si="54"/>
        <v>126</v>
      </c>
      <c r="AX112" s="65">
        <f t="shared" si="46"/>
        <v>0</v>
      </c>
      <c r="AY112" s="53">
        <f t="shared" si="55"/>
        <v>-1.0418624999999979</v>
      </c>
      <c r="AZ112" s="53">
        <f t="shared" si="56"/>
        <v>4.4651249999999969</v>
      </c>
      <c r="BA112" s="53">
        <f t="shared" si="57"/>
        <v>-0.3674999999999996</v>
      </c>
      <c r="BB112" s="53">
        <f t="shared" si="50"/>
        <v>1.4000000000000001</v>
      </c>
      <c r="BG112" s="53">
        <f t="shared" si="58"/>
        <v>4.7663997933884303</v>
      </c>
      <c r="BH112" s="53">
        <f t="shared" si="52"/>
        <v>139</v>
      </c>
      <c r="BI112" s="53">
        <f t="shared" si="38"/>
        <v>0</v>
      </c>
      <c r="BJ112" s="53">
        <f t="shared" si="39"/>
        <v>-4.0799996961590272</v>
      </c>
      <c r="BK112" s="53">
        <f t="shared" si="40"/>
        <v>19.666185585803575</v>
      </c>
      <c r="BL112" s="53">
        <f t="shared" si="41"/>
        <v>-15.460962566844168</v>
      </c>
      <c r="BM112" s="53">
        <f t="shared" si="42"/>
        <v>4.6411764705880518</v>
      </c>
    </row>
    <row r="113" spans="1:65" x14ac:dyDescent="0.25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L113" s="139">
        <f t="shared" si="32"/>
        <v>144.32000000000011</v>
      </c>
      <c r="AM113" s="129">
        <f t="shared" si="43"/>
        <v>168</v>
      </c>
      <c r="AN113" s="65">
        <f t="shared" si="33"/>
        <v>0</v>
      </c>
      <c r="AO113" s="65">
        <f t="shared" si="34"/>
        <v>-123.47999999999934</v>
      </c>
      <c r="AP113" s="65">
        <f t="shared" si="35"/>
        <v>176.39999999999924</v>
      </c>
      <c r="AQ113" s="65">
        <f t="shared" si="36"/>
        <v>15.400000000000215</v>
      </c>
      <c r="AR113" s="65">
        <f t="shared" si="37"/>
        <v>76</v>
      </c>
      <c r="AV113" s="139">
        <f t="shared" si="53"/>
        <v>4.5423999999999998</v>
      </c>
      <c r="AW113" s="129">
        <f t="shared" si="54"/>
        <v>128</v>
      </c>
      <c r="AX113" s="65">
        <f t="shared" si="46"/>
        <v>0</v>
      </c>
      <c r="AY113" s="53">
        <f t="shared" si="55"/>
        <v>-1.0922666666666645</v>
      </c>
      <c r="AZ113" s="53">
        <f t="shared" si="56"/>
        <v>4.607999999999997</v>
      </c>
      <c r="BA113" s="53">
        <f t="shared" si="57"/>
        <v>-0.37333333333333291</v>
      </c>
      <c r="BB113" s="53">
        <f t="shared" si="50"/>
        <v>1.4000000000000001</v>
      </c>
      <c r="BG113" s="53">
        <f t="shared" si="58"/>
        <v>4.8504618376276145</v>
      </c>
      <c r="BH113" s="53">
        <f t="shared" si="52"/>
        <v>140</v>
      </c>
      <c r="BI113" s="53">
        <f t="shared" si="38"/>
        <v>0</v>
      </c>
      <c r="BJ113" s="53">
        <f t="shared" si="39"/>
        <v>-4.1686922702961109</v>
      </c>
      <c r="BK113" s="53">
        <f t="shared" si="40"/>
        <v>19.950170150703901</v>
      </c>
      <c r="BL113" s="53">
        <f t="shared" si="41"/>
        <v>-15.572192513368227</v>
      </c>
      <c r="BM113" s="53">
        <f t="shared" si="42"/>
        <v>4.6411764705880518</v>
      </c>
    </row>
    <row r="114" spans="1:65" x14ac:dyDescent="0.2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L114" s="139">
        <f t="shared" ref="AL114" si="59">AN114+AO114+AP114+AQ114+AR114</f>
        <v>144.26562500000011</v>
      </c>
      <c r="AM114" s="129">
        <f t="shared" si="43"/>
        <v>170</v>
      </c>
      <c r="AN114" s="65">
        <f t="shared" ref="AN114" si="60">AM114*AM114*AM114*AM114*$AL$19</f>
        <v>0</v>
      </c>
      <c r="AO114" s="65">
        <f t="shared" ref="AO114" si="61">AM114*AM114*AM114*$AM$19</f>
        <v>-127.94270833333265</v>
      </c>
      <c r="AP114" s="65">
        <f t="shared" ref="AP114" si="62">AM114*AM114*$AN$19</f>
        <v>180.6249999999992</v>
      </c>
      <c r="AQ114" s="65">
        <f t="shared" ref="AQ114" si="63">AM114*$AO$19</f>
        <v>15.583333333333552</v>
      </c>
      <c r="AR114" s="65">
        <f t="shared" ref="AR114" si="64">$AP$19</f>
        <v>76</v>
      </c>
      <c r="AV114" s="139">
        <f t="shared" si="53"/>
        <v>4.6296875000000002</v>
      </c>
      <c r="AW114" s="129">
        <f t="shared" si="54"/>
        <v>130</v>
      </c>
      <c r="AX114" s="65">
        <f t="shared" si="46"/>
        <v>0</v>
      </c>
      <c r="AY114" s="53">
        <f t="shared" si="55"/>
        <v>-1.1442708333333311</v>
      </c>
      <c r="AZ114" s="53">
        <f t="shared" si="56"/>
        <v>4.7531249999999972</v>
      </c>
      <c r="BA114" s="53">
        <f t="shared" si="57"/>
        <v>-0.37916666666666621</v>
      </c>
      <c r="BB114" s="53">
        <f t="shared" si="50"/>
        <v>1.4000000000000001</v>
      </c>
      <c r="BG114" s="53">
        <f t="shared" si="58"/>
        <v>4.9352834832280017</v>
      </c>
      <c r="BH114" s="53">
        <f t="shared" si="52"/>
        <v>141</v>
      </c>
      <c r="BI114" s="53">
        <f t="shared" ref="BI114" si="65">BH114*BH114*BH114*BH114*$BG$19</f>
        <v>0</v>
      </c>
      <c r="BJ114" s="53">
        <f t="shared" ref="BJ114" si="66">BH114*BH114*BH114*$BH$19</f>
        <v>-4.2586609747200193</v>
      </c>
      <c r="BK114" s="53">
        <f t="shared" ref="BK114" si="67">BH114*BH114*$BI$19</f>
        <v>20.236190447252255</v>
      </c>
      <c r="BL114" s="53">
        <f t="shared" ref="BL114" si="68">BH114*$BJ$19</f>
        <v>-15.683422459892286</v>
      </c>
      <c r="BM114" s="53">
        <f t="shared" ref="BM114" si="69">$BK$19</f>
        <v>4.6411764705880518</v>
      </c>
    </row>
    <row r="115" spans="1:65" x14ac:dyDescent="0.25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</row>
    <row r="116" spans="1:65" x14ac:dyDescent="0.25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</row>
    <row r="117" spans="1:65" x14ac:dyDescent="0.25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</row>
    <row r="118" spans="1:65" x14ac:dyDescent="0.25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</row>
    <row r="119" spans="1:65" x14ac:dyDescent="0.25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</row>
    <row r="120" spans="1:65" x14ac:dyDescent="0.25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</row>
    <row r="121" spans="1:65" x14ac:dyDescent="0.25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</row>
    <row r="122" spans="1:65" x14ac:dyDescent="0.25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</row>
    <row r="123" spans="1:65" x14ac:dyDescent="0.25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</row>
    <row r="124" spans="1:65" x14ac:dyDescent="0.25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</row>
    <row r="125" spans="1:65" x14ac:dyDescent="0.25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</row>
    <row r="169" spans="37:45" x14ac:dyDescent="0.25">
      <c r="AK169" s="65">
        <v>130</v>
      </c>
      <c r="AL169" s="136">
        <f>AK169*AK169</f>
        <v>16900</v>
      </c>
      <c r="AM169" s="136">
        <f>AK169</f>
        <v>130</v>
      </c>
      <c r="AN169" s="136">
        <f>1</f>
        <v>1</v>
      </c>
    </row>
    <row r="170" spans="37:45" x14ac:dyDescent="0.25">
      <c r="AL170" s="136">
        <f>AL19*AL169</f>
        <v>0</v>
      </c>
      <c r="AM170" s="136">
        <f>AM19*AM169</f>
        <v>-3.3854166666666486E-3</v>
      </c>
      <c r="AN170" s="136">
        <f>AN19*AN169</f>
        <v>6.2499999999999726E-3</v>
      </c>
      <c r="AO170" s="133">
        <f>SUM(AL170:AN170)</f>
        <v>2.864583333333324E-3</v>
      </c>
    </row>
    <row r="171" spans="37:45" x14ac:dyDescent="0.25">
      <c r="AS171" s="140"/>
    </row>
    <row r="172" spans="37:45" x14ac:dyDescent="0.25">
      <c r="AO172" s="136"/>
      <c r="AP172" s="133"/>
    </row>
    <row r="173" spans="37:45" x14ac:dyDescent="0.25">
      <c r="AL173" s="135">
        <f>G13</f>
        <v>1.4</v>
      </c>
      <c r="AM173" s="133">
        <f>A13</f>
        <v>0</v>
      </c>
    </row>
    <row r="175" spans="37:45" x14ac:dyDescent="0.25">
      <c r="AN175" s="131"/>
    </row>
    <row r="176" spans="37:45" x14ac:dyDescent="0.25">
      <c r="AL176" s="65" t="s">
        <v>30</v>
      </c>
      <c r="AM176" s="65" t="s">
        <v>40</v>
      </c>
    </row>
    <row r="177" spans="38:45" x14ac:dyDescent="0.25">
      <c r="AL177" s="65" t="s">
        <v>15</v>
      </c>
      <c r="AM177" s="65" t="s">
        <v>29</v>
      </c>
      <c r="AN177" s="65" t="s">
        <v>37</v>
      </c>
      <c r="AO177" s="65" t="s">
        <v>29</v>
      </c>
      <c r="AS177" s="65" t="s">
        <v>38</v>
      </c>
    </row>
    <row r="178" spans="38:45" x14ac:dyDescent="0.25">
      <c r="AL178" s="135">
        <f>G13</f>
        <v>1.4</v>
      </c>
      <c r="AM178" s="133">
        <f>A13</f>
        <v>0</v>
      </c>
      <c r="AN178" s="134">
        <f>$G$22+0.2</f>
        <v>1.5999999999999999</v>
      </c>
      <c r="AO178" s="133">
        <f t="shared" ref="AO178:AO184" si="70">AM178</f>
        <v>0</v>
      </c>
      <c r="AP178" s="65" t="s">
        <v>39</v>
      </c>
      <c r="AQ178" s="65" t="s">
        <v>35</v>
      </c>
      <c r="AR178" s="65" t="s">
        <v>36</v>
      </c>
      <c r="AS178" s="134">
        <f t="shared" ref="AS178:AS184" si="71">AN178+1.5</f>
        <v>3.0999999999999996</v>
      </c>
    </row>
    <row r="179" spans="38:45" x14ac:dyDescent="0.25">
      <c r="AL179" s="135">
        <f>G14</f>
        <v>1.7</v>
      </c>
      <c r="AM179" s="140">
        <f t="shared" ref="AM179:AM184" si="72">IF(A14="",#N/A,A14)</f>
        <v>40</v>
      </c>
      <c r="AN179" s="134">
        <f>$G$22+0.2</f>
        <v>1.5999999999999999</v>
      </c>
      <c r="AO179" s="140">
        <f t="shared" si="70"/>
        <v>40</v>
      </c>
      <c r="AP179" s="141">
        <f t="shared" ref="AP179:AP184" si="73">AL179</f>
        <v>1.7</v>
      </c>
      <c r="AQ179" s="65">
        <f t="shared" ref="AQ179:AQ184" si="74">AP179*AP179</f>
        <v>2.8899999999999997</v>
      </c>
      <c r="AR179" s="65">
        <f t="shared" ref="AR179:AR184" si="75">AQ179*AP179</f>
        <v>4.9129999999999994</v>
      </c>
      <c r="AS179" s="134">
        <f t="shared" si="71"/>
        <v>3.0999999999999996</v>
      </c>
    </row>
    <row r="180" spans="38:45" x14ac:dyDescent="0.25">
      <c r="AL180" s="135">
        <f>IF(A15="",#N/A,G15)</f>
        <v>2.7</v>
      </c>
      <c r="AM180" s="140">
        <f t="shared" si="72"/>
        <v>80</v>
      </c>
      <c r="AN180" s="134">
        <f>$G$22+0.2</f>
        <v>1.5999999999999999</v>
      </c>
      <c r="AO180" s="140">
        <f t="shared" si="70"/>
        <v>80</v>
      </c>
      <c r="AP180" s="141">
        <f t="shared" si="73"/>
        <v>2.7</v>
      </c>
      <c r="AQ180" s="65">
        <f t="shared" si="74"/>
        <v>7.2900000000000009</v>
      </c>
      <c r="AR180" s="65">
        <f t="shared" si="75"/>
        <v>19.683000000000003</v>
      </c>
      <c r="AS180" s="134">
        <f t="shared" si="71"/>
        <v>3.0999999999999996</v>
      </c>
    </row>
    <row r="181" spans="38:45" x14ac:dyDescent="0.25">
      <c r="AL181" s="135">
        <f>IF(A16="",#N/A,G16)</f>
        <v>4.2</v>
      </c>
      <c r="AM181" s="140">
        <f t="shared" si="72"/>
        <v>120</v>
      </c>
      <c r="AN181" s="134">
        <f>$G$22+0.2</f>
        <v>1.5999999999999999</v>
      </c>
      <c r="AO181" s="140">
        <f t="shared" si="70"/>
        <v>120</v>
      </c>
      <c r="AP181" s="141">
        <f t="shared" si="73"/>
        <v>4.2</v>
      </c>
      <c r="AQ181" s="65">
        <f t="shared" si="74"/>
        <v>17.64</v>
      </c>
      <c r="AR181" s="65">
        <f t="shared" si="75"/>
        <v>74.088000000000008</v>
      </c>
      <c r="AS181" s="134">
        <f t="shared" si="71"/>
        <v>3.0999999999999996</v>
      </c>
    </row>
    <row r="182" spans="38:45" x14ac:dyDescent="0.25">
      <c r="AL182" s="135" t="e">
        <f>IF(A17="",#N/A,G17)</f>
        <v>#N/A</v>
      </c>
      <c r="AM182" s="140" t="e">
        <f t="shared" si="72"/>
        <v>#N/A</v>
      </c>
      <c r="AN182" s="134" t="e">
        <f>IF(A17="",#N/A,$G$22+0.2)</f>
        <v>#N/A</v>
      </c>
      <c r="AO182" s="140" t="e">
        <f t="shared" si="70"/>
        <v>#N/A</v>
      </c>
      <c r="AP182" s="141" t="e">
        <f t="shared" si="73"/>
        <v>#N/A</v>
      </c>
      <c r="AQ182" s="65" t="e">
        <f t="shared" si="74"/>
        <v>#N/A</v>
      </c>
      <c r="AR182" s="65" t="e">
        <f t="shared" si="75"/>
        <v>#N/A</v>
      </c>
      <c r="AS182" s="134" t="e">
        <f t="shared" si="71"/>
        <v>#N/A</v>
      </c>
    </row>
    <row r="183" spans="38:45" x14ac:dyDescent="0.25">
      <c r="AL183" s="135" t="e">
        <f>IF(A18="",#N/A,G18)</f>
        <v>#N/A</v>
      </c>
      <c r="AM183" s="140" t="e">
        <f t="shared" si="72"/>
        <v>#N/A</v>
      </c>
      <c r="AN183" s="134" t="e">
        <f>IF(A18="",#N/A,$G$22+0.2)</f>
        <v>#N/A</v>
      </c>
      <c r="AO183" s="140" t="e">
        <f t="shared" si="70"/>
        <v>#N/A</v>
      </c>
      <c r="AP183" s="141" t="e">
        <f t="shared" si="73"/>
        <v>#N/A</v>
      </c>
      <c r="AQ183" s="65" t="e">
        <f t="shared" si="74"/>
        <v>#N/A</v>
      </c>
      <c r="AR183" s="65" t="e">
        <f t="shared" si="75"/>
        <v>#N/A</v>
      </c>
      <c r="AS183" s="134" t="e">
        <f t="shared" si="71"/>
        <v>#N/A</v>
      </c>
    </row>
    <row r="184" spans="38:45" x14ac:dyDescent="0.25">
      <c r="AL184" s="135" t="e">
        <f>IF(A19="",#N/A,G19)</f>
        <v>#N/A</v>
      </c>
      <c r="AM184" s="140" t="e">
        <f t="shared" si="72"/>
        <v>#N/A</v>
      </c>
      <c r="AN184" s="134" t="e">
        <f>IF(A19="",#N/A,$G$22+0.2)</f>
        <v>#N/A</v>
      </c>
      <c r="AO184" s="140" t="e">
        <f t="shared" si="70"/>
        <v>#N/A</v>
      </c>
      <c r="AP184" s="141" t="e">
        <f t="shared" si="73"/>
        <v>#N/A</v>
      </c>
      <c r="AQ184" s="65" t="e">
        <f t="shared" si="74"/>
        <v>#N/A</v>
      </c>
      <c r="AR184" s="65" t="e">
        <f t="shared" si="75"/>
        <v>#N/A</v>
      </c>
      <c r="AS184" s="134" t="e">
        <f t="shared" si="71"/>
        <v>#N/A</v>
      </c>
    </row>
    <row r="185" spans="38:45" x14ac:dyDescent="0.25">
      <c r="AL185" s="135"/>
    </row>
    <row r="186" spans="38:45" x14ac:dyDescent="0.25">
      <c r="AL186" s="65">
        <v>3</v>
      </c>
      <c r="AM186" s="136">
        <f t="array" ref="AM186:AO186">LINEST(AO179:AO180,AP179:AQ180)</f>
        <v>9.0909090909090882</v>
      </c>
      <c r="AN186" s="136">
        <v>0</v>
      </c>
      <c r="AO186" s="136">
        <v>13.727272727272741</v>
      </c>
      <c r="AP186" s="136"/>
    </row>
    <row r="187" spans="38:45" x14ac:dyDescent="0.25">
      <c r="AL187" s="65">
        <v>4</v>
      </c>
      <c r="AM187" s="136">
        <f t="array" ref="AM187:AO187">LINEST(AO179:AO181,AP179:AQ181)</f>
        <v>-5.3333333333333268</v>
      </c>
      <c r="AN187" s="136">
        <v>63.466666666666612</v>
      </c>
      <c r="AO187" s="136">
        <v>-52.47999999999994</v>
      </c>
      <c r="AP187" s="136"/>
    </row>
    <row r="188" spans="38:45" x14ac:dyDescent="0.25">
      <c r="AL188" s="65">
        <v>5</v>
      </c>
      <c r="AM188" s="136" t="e">
        <f t="array" ref="AM188:AO188">LINEST(AO179:AO182,AP179:AQ182)</f>
        <v>#VALUE!</v>
      </c>
      <c r="AN188" s="136" t="e">
        <v>#VALUE!</v>
      </c>
      <c r="AO188" s="136" t="e">
        <v>#VALUE!</v>
      </c>
      <c r="AP188" s="136"/>
    </row>
    <row r="189" spans="38:45" x14ac:dyDescent="0.25">
      <c r="AL189" s="65">
        <v>6</v>
      </c>
      <c r="AM189" s="136" t="e">
        <f t="array" ref="AM189:AO189">LINEST(AO179:AO183,AP179:AQ183)</f>
        <v>#VALUE!</v>
      </c>
      <c r="AN189" s="136" t="e">
        <v>#VALUE!</v>
      </c>
      <c r="AO189" s="136" t="e">
        <v>#VALUE!</v>
      </c>
      <c r="AP189" s="136"/>
    </row>
    <row r="190" spans="38:45" x14ac:dyDescent="0.25">
      <c r="AL190" s="65">
        <v>7</v>
      </c>
      <c r="AM190" s="136" t="e">
        <f t="array" ref="AM190:AO190">LINEST(AO179:AO184,AP179:AQ184)</f>
        <v>#VALUE!</v>
      </c>
      <c r="AN190" s="136" t="e">
        <v>#VALUE!</v>
      </c>
      <c r="AO190" s="136" t="e">
        <v>#VALUE!</v>
      </c>
      <c r="AP190" s="142"/>
    </row>
    <row r="193" spans="38:45" x14ac:dyDescent="0.25">
      <c r="AM193" s="65">
        <f>VLOOKUP($A$23,$AL$186:$AP$190,2)</f>
        <v>-5.3333333333333268</v>
      </c>
      <c r="AN193" s="65">
        <f>VLOOKUP($A$23,$AL$186:$AP$190,3)</f>
        <v>63.466666666666612</v>
      </c>
      <c r="AO193" s="65">
        <f>VLOOKUP($A$23,$AL$186:$AP$190,4)</f>
        <v>-52.47999999999994</v>
      </c>
    </row>
    <row r="194" spans="38:45" x14ac:dyDescent="0.25">
      <c r="AM194" s="65">
        <f>AN179*AN179</f>
        <v>2.5599999999999996</v>
      </c>
      <c r="AN194" s="134">
        <f>AN179</f>
        <v>1.5999999999999999</v>
      </c>
      <c r="AO194" s="134">
        <v>1</v>
      </c>
    </row>
    <row r="195" spans="38:45" x14ac:dyDescent="0.25">
      <c r="AM195" s="65">
        <f>AM193*AM194</f>
        <v>-13.653333333333315</v>
      </c>
      <c r="AN195" s="65">
        <f>AN193*AN194</f>
        <v>101.54666666666657</v>
      </c>
      <c r="AO195" s="65">
        <f>AO193*AO194</f>
        <v>-52.47999999999994</v>
      </c>
      <c r="AQ195" s="133">
        <f>SUM(AM195:AP195)</f>
        <v>35.41333333333332</v>
      </c>
    </row>
    <row r="196" spans="38:45" x14ac:dyDescent="0.25">
      <c r="AM196" s="65">
        <f>AS179*AS179</f>
        <v>9.6099999999999977</v>
      </c>
      <c r="AN196" s="134">
        <f>AS179</f>
        <v>3.0999999999999996</v>
      </c>
      <c r="AO196" s="134">
        <v>1</v>
      </c>
      <c r="AQ196" s="133"/>
    </row>
    <row r="197" spans="38:45" x14ac:dyDescent="0.25">
      <c r="AM197" s="65">
        <f>AM196*AM193</f>
        <v>-51.253333333333259</v>
      </c>
      <c r="AN197" s="65">
        <f>AN196*AN193</f>
        <v>196.74666666666647</v>
      </c>
      <c r="AO197" s="65">
        <f>AO196*AO193</f>
        <v>-52.47999999999994</v>
      </c>
      <c r="AQ197" s="133">
        <f>SUM(AM197:AP197)</f>
        <v>93.013333333333293</v>
      </c>
    </row>
    <row r="201" spans="38:45" x14ac:dyDescent="0.25">
      <c r="AL201" s="65" t="s">
        <v>30</v>
      </c>
      <c r="AM201" s="65" t="s">
        <v>33</v>
      </c>
    </row>
    <row r="202" spans="38:45" x14ac:dyDescent="0.25">
      <c r="AL202" s="65" t="s">
        <v>15</v>
      </c>
      <c r="AM202" s="65" t="s">
        <v>33</v>
      </c>
      <c r="AN202" s="65" t="s">
        <v>37</v>
      </c>
      <c r="AS202" s="65" t="s">
        <v>38</v>
      </c>
    </row>
    <row r="203" spans="38:45" x14ac:dyDescent="0.25">
      <c r="AL203" s="135">
        <f>G13</f>
        <v>1.4</v>
      </c>
      <c r="AM203" s="131">
        <f>E13</f>
        <v>76</v>
      </c>
      <c r="AN203" s="134">
        <f t="shared" ref="AN203:AN209" si="76">$G$22+0.2</f>
        <v>1.5999999999999999</v>
      </c>
      <c r="AO203" s="65" t="s">
        <v>29</v>
      </c>
      <c r="AP203" s="65" t="s">
        <v>39</v>
      </c>
      <c r="AQ203" s="65" t="s">
        <v>35</v>
      </c>
      <c r="AR203" s="65" t="s">
        <v>36</v>
      </c>
      <c r="AS203" s="134">
        <f t="shared" ref="AS203:AS209" si="77">AN203+1.5</f>
        <v>3.0999999999999996</v>
      </c>
    </row>
    <row r="204" spans="38:45" x14ac:dyDescent="0.25">
      <c r="AL204" s="135">
        <f>G14</f>
        <v>1.7</v>
      </c>
      <c r="AM204" s="131">
        <f t="shared" ref="AM204:AM209" si="78">IF(A14="",#N/A,E14)</f>
        <v>88</v>
      </c>
      <c r="AN204" s="134">
        <f t="shared" si="76"/>
        <v>1.5999999999999999</v>
      </c>
      <c r="AO204" s="131">
        <f t="shared" ref="AO204:AO209" si="79">AM204</f>
        <v>88</v>
      </c>
      <c r="AP204" s="141">
        <f t="shared" ref="AP204:AP209" si="80">AL204</f>
        <v>1.7</v>
      </c>
      <c r="AQ204" s="65">
        <f t="shared" ref="AQ204:AQ209" si="81">AP204*AP204</f>
        <v>2.8899999999999997</v>
      </c>
      <c r="AR204" s="65">
        <f t="shared" ref="AR204:AR209" si="82">AQ204*AP204</f>
        <v>4.9129999999999994</v>
      </c>
      <c r="AS204" s="134">
        <f t="shared" si="77"/>
        <v>3.0999999999999996</v>
      </c>
    </row>
    <row r="205" spans="38:45" x14ac:dyDescent="0.25">
      <c r="AL205" s="135">
        <f>IF(A15="",#N/A,G15)</f>
        <v>2.7</v>
      </c>
      <c r="AM205" s="131">
        <f t="shared" si="78"/>
        <v>110</v>
      </c>
      <c r="AN205" s="134">
        <f t="shared" si="76"/>
        <v>1.5999999999999999</v>
      </c>
      <c r="AO205" s="131">
        <f t="shared" si="79"/>
        <v>110</v>
      </c>
      <c r="AP205" s="141">
        <f t="shared" si="80"/>
        <v>2.7</v>
      </c>
      <c r="AQ205" s="65">
        <f t="shared" si="81"/>
        <v>7.2900000000000009</v>
      </c>
      <c r="AR205" s="65">
        <f t="shared" si="82"/>
        <v>19.683000000000003</v>
      </c>
      <c r="AS205" s="134">
        <f t="shared" si="77"/>
        <v>3.0999999999999996</v>
      </c>
    </row>
    <row r="206" spans="38:45" x14ac:dyDescent="0.25">
      <c r="AL206" s="135">
        <f>IF(A16="",#N/A,G16)</f>
        <v>4.2</v>
      </c>
      <c r="AM206" s="131">
        <f t="shared" si="78"/>
        <v>132</v>
      </c>
      <c r="AN206" s="134">
        <f t="shared" si="76"/>
        <v>1.5999999999999999</v>
      </c>
      <c r="AO206" s="131">
        <f t="shared" si="79"/>
        <v>132</v>
      </c>
      <c r="AP206" s="141">
        <f t="shared" si="80"/>
        <v>4.2</v>
      </c>
      <c r="AQ206" s="65">
        <f t="shared" si="81"/>
        <v>17.64</v>
      </c>
      <c r="AR206" s="65">
        <f t="shared" si="82"/>
        <v>74.088000000000008</v>
      </c>
      <c r="AS206" s="134">
        <f t="shared" si="77"/>
        <v>3.0999999999999996</v>
      </c>
    </row>
    <row r="207" spans="38:45" x14ac:dyDescent="0.25">
      <c r="AL207" s="135" t="e">
        <f>IF(A17="",#N/A,G17)</f>
        <v>#N/A</v>
      </c>
      <c r="AM207" s="131" t="e">
        <f t="shared" si="78"/>
        <v>#N/A</v>
      </c>
      <c r="AN207" s="134">
        <f t="shared" si="76"/>
        <v>1.5999999999999999</v>
      </c>
      <c r="AO207" s="131" t="e">
        <f t="shared" si="79"/>
        <v>#N/A</v>
      </c>
      <c r="AP207" s="141" t="e">
        <f t="shared" si="80"/>
        <v>#N/A</v>
      </c>
      <c r="AQ207" s="65" t="e">
        <f t="shared" si="81"/>
        <v>#N/A</v>
      </c>
      <c r="AR207" s="65" t="e">
        <f t="shared" si="82"/>
        <v>#N/A</v>
      </c>
      <c r="AS207" s="134">
        <f t="shared" si="77"/>
        <v>3.0999999999999996</v>
      </c>
    </row>
    <row r="208" spans="38:45" x14ac:dyDescent="0.25">
      <c r="AL208" s="135" t="e">
        <f>IF(A18="",#N/A,G18)</f>
        <v>#N/A</v>
      </c>
      <c r="AM208" s="131" t="e">
        <f t="shared" si="78"/>
        <v>#N/A</v>
      </c>
      <c r="AN208" s="134">
        <f t="shared" si="76"/>
        <v>1.5999999999999999</v>
      </c>
      <c r="AO208" s="131" t="e">
        <f t="shared" si="79"/>
        <v>#N/A</v>
      </c>
      <c r="AP208" s="141" t="e">
        <f t="shared" si="80"/>
        <v>#N/A</v>
      </c>
      <c r="AQ208" s="65" t="e">
        <f t="shared" si="81"/>
        <v>#N/A</v>
      </c>
      <c r="AR208" s="65" t="e">
        <f t="shared" si="82"/>
        <v>#N/A</v>
      </c>
      <c r="AS208" s="134">
        <f t="shared" si="77"/>
        <v>3.0999999999999996</v>
      </c>
    </row>
    <row r="209" spans="37:45" x14ac:dyDescent="0.25">
      <c r="AL209" s="135" t="e">
        <f>IF(A19="",#N/A,G19)</f>
        <v>#N/A</v>
      </c>
      <c r="AM209" s="131" t="e">
        <f t="shared" si="78"/>
        <v>#N/A</v>
      </c>
      <c r="AN209" s="134">
        <f t="shared" si="76"/>
        <v>1.5999999999999999</v>
      </c>
      <c r="AO209" s="131" t="e">
        <f t="shared" si="79"/>
        <v>#N/A</v>
      </c>
      <c r="AP209" s="141" t="e">
        <f t="shared" si="80"/>
        <v>#N/A</v>
      </c>
      <c r="AQ209" s="65" t="e">
        <f t="shared" si="81"/>
        <v>#N/A</v>
      </c>
      <c r="AR209" s="65" t="e">
        <f t="shared" si="82"/>
        <v>#N/A</v>
      </c>
      <c r="AS209" s="134">
        <f t="shared" si="77"/>
        <v>3.0999999999999996</v>
      </c>
    </row>
    <row r="210" spans="37:45" x14ac:dyDescent="0.25">
      <c r="AK210" s="65" t="s">
        <v>41</v>
      </c>
      <c r="AL210" s="135"/>
    </row>
    <row r="211" spans="37:45" x14ac:dyDescent="0.25">
      <c r="AL211" s="65">
        <v>3</v>
      </c>
      <c r="AM211" s="136">
        <f t="array" ref="AM211:AO211">LINEST(AO204:AO205,AP204:AQ205)</f>
        <v>4.9999999999999982</v>
      </c>
      <c r="AN211" s="136">
        <v>0</v>
      </c>
      <c r="AO211" s="136">
        <v>73.550000000000011</v>
      </c>
      <c r="AP211" s="136"/>
    </row>
    <row r="212" spans="37:45" x14ac:dyDescent="0.25">
      <c r="AL212" s="65">
        <v>4</v>
      </c>
      <c r="AM212" s="136">
        <f t="array" ref="AM212:AO212">LINEST(AO204:AO206,AP204:AQ206)</f>
        <v>-2.93333333333333</v>
      </c>
      <c r="AN212" s="136">
        <v>34.906666666666638</v>
      </c>
      <c r="AO212" s="136">
        <v>37.136000000000038</v>
      </c>
      <c r="AP212" s="136"/>
    </row>
    <row r="213" spans="37:45" x14ac:dyDescent="0.25">
      <c r="AL213" s="65">
        <v>5</v>
      </c>
      <c r="AM213" s="136" t="e">
        <f t="array" ref="AM213:AO213">LINEST(AO204:AO207,AP204:AQ207)</f>
        <v>#VALUE!</v>
      </c>
      <c r="AN213" s="136" t="e">
        <v>#VALUE!</v>
      </c>
      <c r="AO213" s="136" t="e">
        <v>#VALUE!</v>
      </c>
      <c r="AP213" s="136"/>
    </row>
    <row r="214" spans="37:45" x14ac:dyDescent="0.25">
      <c r="AL214" s="65">
        <v>6</v>
      </c>
      <c r="AM214" s="136" t="e">
        <f t="array" ref="AM214:AO214">LINEST(AO204:AO208,AP204:AQ208)</f>
        <v>#VALUE!</v>
      </c>
      <c r="AN214" s="136" t="e">
        <v>#VALUE!</v>
      </c>
      <c r="AO214" s="136" t="e">
        <v>#VALUE!</v>
      </c>
      <c r="AP214" s="136"/>
    </row>
    <row r="215" spans="37:45" x14ac:dyDescent="0.25">
      <c r="AL215" s="65">
        <v>7</v>
      </c>
      <c r="AM215" s="136" t="e">
        <f t="array" ref="AM215:AO215">LINEST(AO204:AO209,AP204:AQ209)</f>
        <v>#VALUE!</v>
      </c>
      <c r="AN215" s="136" t="e">
        <v>#VALUE!</v>
      </c>
      <c r="AO215" s="136" t="e">
        <v>#VALUE!</v>
      </c>
      <c r="AP215" s="142"/>
    </row>
    <row r="218" spans="37:45" x14ac:dyDescent="0.25">
      <c r="AM218" s="65">
        <f>VLOOKUP($A$23,$AL$211:$AP$215,2)</f>
        <v>-2.93333333333333</v>
      </c>
      <c r="AN218" s="65">
        <f>VLOOKUP($A$23,$AL$211:$AP$215,3)</f>
        <v>34.906666666666638</v>
      </c>
      <c r="AO218" s="65">
        <f>VLOOKUP($A$23,$AL$211:$AP$215,4)</f>
        <v>37.136000000000038</v>
      </c>
      <c r="AP218" s="65">
        <f>VLOOKUP($A$23,$AL$211:$AP$215,5)</f>
        <v>0</v>
      </c>
    </row>
    <row r="219" spans="37:45" x14ac:dyDescent="0.25">
      <c r="AM219" s="65">
        <f>AN204*AN204</f>
        <v>2.5599999999999996</v>
      </c>
      <c r="AN219" s="134">
        <f>AN204</f>
        <v>1.5999999999999999</v>
      </c>
      <c r="AO219" s="134">
        <v>1</v>
      </c>
      <c r="AP219" s="65">
        <v>1</v>
      </c>
    </row>
    <row r="220" spans="37:45" x14ac:dyDescent="0.25">
      <c r="AM220" s="65">
        <f>AM218*AM219</f>
        <v>-7.5093333333333234</v>
      </c>
      <c r="AN220" s="65">
        <f>AN218*AN219</f>
        <v>55.850666666666619</v>
      </c>
      <c r="AO220" s="65">
        <f>AO218*AO219</f>
        <v>37.136000000000038</v>
      </c>
      <c r="AP220" s="65">
        <f>AP218*AP219</f>
        <v>0</v>
      </c>
      <c r="AQ220" s="133">
        <f>SUM(AM220:AO220)</f>
        <v>85.477333333333334</v>
      </c>
    </row>
    <row r="221" spans="37:45" x14ac:dyDescent="0.25">
      <c r="AM221" s="65">
        <f>AS204*AS204</f>
        <v>9.6099999999999977</v>
      </c>
      <c r="AN221" s="134">
        <f>AS204</f>
        <v>3.0999999999999996</v>
      </c>
      <c r="AO221" s="134">
        <v>1</v>
      </c>
      <c r="AP221" s="65">
        <v>1</v>
      </c>
      <c r="AQ221" s="133"/>
    </row>
    <row r="222" spans="37:45" x14ac:dyDescent="0.25">
      <c r="AM222" s="65">
        <f>AM221*AM218</f>
        <v>-28.189333333333295</v>
      </c>
      <c r="AN222" s="65">
        <f>AN221*AN218</f>
        <v>108.21066666666657</v>
      </c>
      <c r="AO222" s="65">
        <f>AO221*AO218</f>
        <v>37.136000000000038</v>
      </c>
      <c r="AP222" s="65">
        <f>AP221*AP218</f>
        <v>0</v>
      </c>
      <c r="AQ222" s="133">
        <f>SUM(AM222:AO222)</f>
        <v>117.15733333333331</v>
      </c>
    </row>
  </sheetData>
  <sheetProtection algorithmName="SHA-512" hashValue="yVW8E6aKDs6N29cxxGjj6DXBSUPapFz+bJLUXRgDa4aTWyyvnY2eZ17a75/JwonpolONcrtPmkIduc4m6LtakQ==" saltValue="K/0wCwlVXJKtSzYtEcThmQ==" spinCount="100000" sheet="1" objects="1" scenarios="1" selectLockedCells="1"/>
  <mergeCells count="2">
    <mergeCell ref="A1:B1"/>
    <mergeCell ref="A47:C47"/>
  </mergeCells>
  <conditionalFormatting sqref="E16:E21">
    <cfRule type="containsErrors" dxfId="10" priority="1">
      <formula>ISERROR(E16)</formula>
    </cfRule>
  </conditionalFormatting>
  <printOptions horizontalCentered="1"/>
  <pageMargins left="0.78740157480314965" right="0.78740157480314965" top="1.1811023622047245" bottom="0.78740157480314965" header="0.31496062992125984" footer="0.31496062992125984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view="pageLayout" zoomScaleNormal="100" workbookViewId="0">
      <selection activeCell="E6" sqref="E6"/>
    </sheetView>
  </sheetViews>
  <sheetFormatPr baseColWidth="10" defaultColWidth="10.42578125" defaultRowHeight="15" x14ac:dyDescent="0.25"/>
  <cols>
    <col min="1" max="2" width="10.5703125" style="10" customWidth="1"/>
    <col min="3" max="6" width="10.42578125" style="10"/>
    <col min="7" max="8" width="10.5703125" style="10" customWidth="1"/>
    <col min="9" max="16384" width="10.42578125" style="10"/>
  </cols>
  <sheetData>
    <row r="1" spans="1:8" ht="23.25" x14ac:dyDescent="0.35">
      <c r="A1" s="64" t="s">
        <v>18</v>
      </c>
      <c r="C1" s="15" t="s">
        <v>53</v>
      </c>
    </row>
    <row r="2" spans="1:8" ht="23.25" customHeight="1" x14ac:dyDescent="0.25">
      <c r="A2" s="8" t="s">
        <v>0</v>
      </c>
      <c r="B2" s="70" t="str">
        <f>IF(Start!C3="","",Start!C3)</f>
        <v>Name</v>
      </c>
      <c r="C2" s="2"/>
      <c r="E2" s="13"/>
      <c r="F2" s="13"/>
      <c r="G2" s="25"/>
    </row>
    <row r="3" spans="1:8" x14ac:dyDescent="0.25">
      <c r="A3" s="8" t="s">
        <v>2</v>
      </c>
      <c r="B3" s="70" t="str">
        <f>IF(Start!C4="","",Start!C4)</f>
        <v>Vorname</v>
      </c>
    </row>
    <row r="4" spans="1:8" ht="14.1" customHeight="1" x14ac:dyDescent="0.25">
      <c r="A4" s="10" t="s">
        <v>4</v>
      </c>
      <c r="B4" s="17">
        <f>IF(Start!C6="","",Start!C6)</f>
        <v>23133</v>
      </c>
      <c r="C4" s="13" t="s">
        <v>5</v>
      </c>
      <c r="D4" s="13" t="str">
        <f>IF(Start!C5="","",Start!C5)</f>
        <v>w</v>
      </c>
      <c r="E4" s="13" t="s">
        <v>48</v>
      </c>
      <c r="F4" s="59">
        <f>IF(Start!C8="","",Start!C8)</f>
        <v>157</v>
      </c>
    </row>
    <row r="5" spans="1:8" ht="14.1" customHeight="1" x14ac:dyDescent="0.25">
      <c r="A5" s="104" t="s">
        <v>1</v>
      </c>
      <c r="B5" s="115" t="s">
        <v>8</v>
      </c>
      <c r="C5" s="104" t="s">
        <v>7</v>
      </c>
      <c r="D5" s="26"/>
      <c r="E5" s="13"/>
      <c r="F5" s="13"/>
      <c r="G5" s="13"/>
    </row>
    <row r="6" spans="1:8" ht="14.1" customHeight="1" x14ac:dyDescent="0.25">
      <c r="A6" s="116">
        <f>IF(Start!C2="","",Start!C2)</f>
        <v>43539</v>
      </c>
      <c r="B6" s="117">
        <f>IF(A6="","",(A6-Laktat!B4)/365)</f>
        <v>55.906849315068492</v>
      </c>
      <c r="C6" s="118">
        <f>'Test 1'!B9</f>
        <v>83</v>
      </c>
      <c r="D6" s="104" t="s">
        <v>54</v>
      </c>
      <c r="E6" s="108">
        <f>'Test 1'!$AS$17</f>
        <v>114</v>
      </c>
      <c r="F6" s="112" t="s">
        <v>18</v>
      </c>
      <c r="G6" s="113">
        <f>IF(E6="","",IF(A6="","",E6/C6))</f>
        <v>1.3734939759036144</v>
      </c>
    </row>
    <row r="7" spans="1:8" ht="14.1" customHeight="1" x14ac:dyDescent="0.25"/>
    <row r="8" spans="1:8" ht="14.1" customHeight="1" x14ac:dyDescent="0.25">
      <c r="F8" s="114"/>
      <c r="G8" s="74">
        <f>IF(B6&lt;30,30.1,IF(B6&gt;70,69.9,B6))</f>
        <v>55.906849315068492</v>
      </c>
      <c r="H8" s="20" t="e">
        <f>IF(B7="",#N/A,IF(B7&lt;30,30.1,IF(B7&gt;70,69.9,B7)))</f>
        <v>#N/A</v>
      </c>
    </row>
    <row r="46" spans="1:3" ht="8.25" customHeight="1" x14ac:dyDescent="0.25"/>
    <row r="47" spans="1:3" ht="15.75" customHeight="1" x14ac:dyDescent="0.3">
      <c r="B47" s="21" t="s">
        <v>59</v>
      </c>
    </row>
    <row r="48" spans="1:3" ht="18.75" customHeight="1" x14ac:dyDescent="0.25">
      <c r="A48" s="186" t="s">
        <v>58</v>
      </c>
      <c r="B48" s="186"/>
      <c r="C48" s="186"/>
    </row>
    <row r="49" ht="16.5" customHeight="1" x14ac:dyDescent="0.25"/>
    <row r="50" ht="20.25" customHeight="1" x14ac:dyDescent="0.25"/>
  </sheetData>
  <sheetProtection algorithmName="SHA-512" hashValue="zdH71RBtZ/3JHFNq9TjmFiwNIliy857/ue09EB4Jujhex1Hu/sY/wpyxepXSOBzmEJVMWpf86TTOrY6tEJmWoQ==" saltValue="4/JjWLFCKzVlsNd34T0voQ==" spinCount="100000" sheet="1" objects="1" scenarios="1" selectLockedCells="1"/>
  <mergeCells count="1">
    <mergeCell ref="A48:C48"/>
  </mergeCells>
  <conditionalFormatting sqref="H8">
    <cfRule type="containsErrors" dxfId="9" priority="1">
      <formula>ISERROR(H8)</formula>
    </cfRule>
  </conditionalFormatting>
  <printOptions horizontalCentered="1"/>
  <pageMargins left="0.78740157480314965" right="0.78740157480314965" top="1.1811023622047245" bottom="0.59055118110236227" header="0.31496062992125984" footer="0.31496062992125984"/>
  <pageSetup paperSize="9" orientation="portrait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8"/>
  <sheetViews>
    <sheetView showWhiteSpace="0" view="pageLayout" zoomScaleNormal="100" workbookViewId="0">
      <selection activeCell="D6" sqref="D6"/>
    </sheetView>
  </sheetViews>
  <sheetFormatPr baseColWidth="10" defaultColWidth="11.42578125" defaultRowHeight="15" x14ac:dyDescent="0.25"/>
  <cols>
    <col min="1" max="1" width="8.42578125" style="10" customWidth="1"/>
    <col min="2" max="2" width="11.5703125" style="10" customWidth="1"/>
    <col min="3" max="3" width="9.7109375" style="10" customWidth="1"/>
    <col min="4" max="5" width="9" style="10" customWidth="1"/>
    <col min="6" max="7" width="9.5703125" style="10" customWidth="1"/>
    <col min="8" max="8" width="10.140625" style="10" bestFit="1" customWidth="1"/>
    <col min="9" max="9" width="9.5703125" style="10" customWidth="1"/>
    <col min="10" max="11" width="11.42578125" style="10"/>
    <col min="12" max="12" width="12" style="10" bestFit="1" customWidth="1"/>
    <col min="13" max="13" width="11.42578125" style="11"/>
    <col min="14" max="16" width="11.42578125" style="10"/>
    <col min="18" max="16384" width="11.42578125" style="10"/>
  </cols>
  <sheetData>
    <row r="1" spans="1:13" ht="23.25" x14ac:dyDescent="0.35">
      <c r="A1" s="124" t="s">
        <v>47</v>
      </c>
      <c r="B1" s="63"/>
      <c r="C1" s="125"/>
      <c r="D1" s="10" t="s">
        <v>74</v>
      </c>
      <c r="M1" s="10"/>
    </row>
    <row r="2" spans="1:13" ht="26.25" customHeight="1" x14ac:dyDescent="0.25">
      <c r="A2" s="8" t="s">
        <v>0</v>
      </c>
      <c r="B2" s="77" t="str">
        <f>IF(Start!C3="","",Start!C3)</f>
        <v>Name</v>
      </c>
      <c r="C2" s="67"/>
      <c r="G2" s="8" t="s">
        <v>1</v>
      </c>
      <c r="H2" s="11">
        <f>IF(Start!C2&gt;1,Start!C2,"")</f>
        <v>43539</v>
      </c>
      <c r="M2" s="10"/>
    </row>
    <row r="3" spans="1:13" x14ac:dyDescent="0.25">
      <c r="A3" s="8" t="s">
        <v>2</v>
      </c>
      <c r="B3" s="70" t="str">
        <f>IF(Start!C4="","",Start!C4)</f>
        <v>Vorname</v>
      </c>
      <c r="C3" s="68"/>
      <c r="M3" s="10"/>
    </row>
    <row r="4" spans="1:13" ht="14.1" customHeight="1" x14ac:dyDescent="0.25">
      <c r="A4" s="10" t="s">
        <v>4</v>
      </c>
      <c r="B4" s="17">
        <f>IF(Start!C6="","",Start!C6)</f>
        <v>23133</v>
      </c>
      <c r="C4" s="13" t="s">
        <v>5</v>
      </c>
      <c r="D4" s="19" t="str">
        <f>IF(Start!C5="","",Start!C5)</f>
        <v>w</v>
      </c>
      <c r="E4" s="13" t="s">
        <v>48</v>
      </c>
      <c r="F4" s="59">
        <f>IF(Start!C8="","",Start!C8)</f>
        <v>157</v>
      </c>
      <c r="G4" s="13"/>
      <c r="H4" s="187" t="s">
        <v>19</v>
      </c>
      <c r="I4" s="187"/>
      <c r="M4" s="10"/>
    </row>
    <row r="5" spans="1:13" ht="14.1" customHeight="1" x14ac:dyDescent="0.25">
      <c r="A5" s="101" t="s">
        <v>1</v>
      </c>
      <c r="B5" s="102" t="s">
        <v>8</v>
      </c>
      <c r="C5" s="103" t="s">
        <v>7</v>
      </c>
      <c r="D5" s="104" t="s">
        <v>20</v>
      </c>
      <c r="E5" s="104" t="s">
        <v>21</v>
      </c>
      <c r="F5" s="104" t="s">
        <v>22</v>
      </c>
      <c r="G5" s="104" t="s">
        <v>23</v>
      </c>
      <c r="H5" s="104" t="s">
        <v>24</v>
      </c>
      <c r="I5" s="104" t="s">
        <v>56</v>
      </c>
      <c r="M5" s="10"/>
    </row>
    <row r="6" spans="1:13" ht="14.1" customHeight="1" x14ac:dyDescent="0.25">
      <c r="A6" s="105">
        <f>IF(Start!C2="","",Start!C2)</f>
        <v>43539</v>
      </c>
      <c r="B6" s="106">
        <f>IF(A6="","",(A6-Laktat!B4)/365)</f>
        <v>55.906849315068492</v>
      </c>
      <c r="C6" s="107">
        <f>'Test 1'!B9</f>
        <v>83</v>
      </c>
      <c r="D6" s="108">
        <f>IF('Test 1'!BC17="","",'Test 1'!BC17)</f>
        <v>32</v>
      </c>
      <c r="E6" s="108">
        <f>IF('Test 1'!BC18="","",'Test 1'!BC18)</f>
        <v>90</v>
      </c>
      <c r="F6" s="180">
        <f>IF('Test 1'!BN17="","",'Test 1'!BN17)</f>
        <v>84</v>
      </c>
      <c r="G6" s="180">
        <f>IF('Test 1'!BN18="","",'Test 1'!BN18)</f>
        <v>116</v>
      </c>
      <c r="H6" s="180">
        <f>IF(G6="","",(F6+G6)/2)</f>
        <v>100</v>
      </c>
      <c r="I6" s="180">
        <f>IF(G6="","",H6+5)</f>
        <v>105</v>
      </c>
      <c r="M6" s="10"/>
    </row>
    <row r="7" spans="1:13" ht="14.1" customHeight="1" x14ac:dyDescent="0.25">
      <c r="M7" s="10"/>
    </row>
    <row r="8" spans="1:13" ht="14.1" customHeight="1" x14ac:dyDescent="0.25">
      <c r="C8" s="12"/>
      <c r="D8" s="27"/>
      <c r="E8" s="27"/>
      <c r="F8" s="57"/>
      <c r="G8" s="57" t="s">
        <v>41</v>
      </c>
      <c r="H8" s="56" t="str">
        <f>IF(C8="","",(F8+G8)/2)</f>
        <v/>
      </c>
      <c r="I8" s="56"/>
      <c r="M8" s="10"/>
    </row>
    <row r="9" spans="1:13" ht="14.1" customHeight="1" x14ac:dyDescent="0.25">
      <c r="M9" s="10"/>
    </row>
    <row r="10" spans="1:13" x14ac:dyDescent="0.25">
      <c r="M10" s="10"/>
    </row>
    <row r="11" spans="1:13" x14ac:dyDescent="0.25">
      <c r="M11" s="10"/>
    </row>
    <row r="12" spans="1:13" x14ac:dyDescent="0.25">
      <c r="M12" s="10"/>
    </row>
    <row r="13" spans="1:13" x14ac:dyDescent="0.25">
      <c r="M13" s="10"/>
    </row>
    <row r="14" spans="1:13" x14ac:dyDescent="0.25">
      <c r="M14" s="10"/>
    </row>
    <row r="15" spans="1:13" x14ac:dyDescent="0.25">
      <c r="M15" s="10"/>
    </row>
    <row r="16" spans="1:13" x14ac:dyDescent="0.25">
      <c r="M16" s="10"/>
    </row>
    <row r="17" spans="13:18" x14ac:dyDescent="0.25">
      <c r="M17" s="10"/>
    </row>
    <row r="18" spans="13:18" x14ac:dyDescent="0.25">
      <c r="M18" s="10"/>
    </row>
    <row r="19" spans="13:18" x14ac:dyDescent="0.25">
      <c r="M19" s="10"/>
      <c r="R19" s="88"/>
    </row>
    <row r="20" spans="13:18" x14ac:dyDescent="0.25">
      <c r="M20" s="10"/>
      <c r="R20" s="88"/>
    </row>
    <row r="21" spans="13:18" x14ac:dyDescent="0.25">
      <c r="M21" s="10"/>
      <c r="R21" s="88"/>
    </row>
    <row r="22" spans="13:18" x14ac:dyDescent="0.25">
      <c r="M22" s="10"/>
      <c r="R22" s="88"/>
    </row>
    <row r="23" spans="13:18" x14ac:dyDescent="0.25">
      <c r="M23" s="10"/>
    </row>
    <row r="24" spans="13:18" x14ac:dyDescent="0.25">
      <c r="M24" s="10"/>
    </row>
    <row r="25" spans="13:18" x14ac:dyDescent="0.25">
      <c r="M25" s="10"/>
    </row>
    <row r="26" spans="13:18" x14ac:dyDescent="0.25">
      <c r="M26" s="10"/>
    </row>
    <row r="27" spans="13:18" x14ac:dyDescent="0.25">
      <c r="M27" s="10"/>
    </row>
    <row r="28" spans="13:18" x14ac:dyDescent="0.25">
      <c r="M28" s="10"/>
    </row>
    <row r="29" spans="13:18" x14ac:dyDescent="0.25">
      <c r="M29" s="10"/>
    </row>
    <row r="30" spans="13:18" x14ac:dyDescent="0.25">
      <c r="M30" s="10"/>
    </row>
    <row r="31" spans="13:18" x14ac:dyDescent="0.25">
      <c r="M31" s="10"/>
    </row>
    <row r="32" spans="13:18" x14ac:dyDescent="0.25">
      <c r="M32" s="10"/>
    </row>
    <row r="33" spans="1:13" x14ac:dyDescent="0.25">
      <c r="M33" s="10"/>
    </row>
    <row r="34" spans="1:13" x14ac:dyDescent="0.25">
      <c r="M34" s="10"/>
    </row>
    <row r="35" spans="1:13" x14ac:dyDescent="0.25">
      <c r="M35" s="10"/>
    </row>
    <row r="36" spans="1:13" x14ac:dyDescent="0.25">
      <c r="M36" s="10"/>
    </row>
    <row r="37" spans="1:13" x14ac:dyDescent="0.25">
      <c r="M37" s="10"/>
    </row>
    <row r="38" spans="1:13" x14ac:dyDescent="0.25">
      <c r="M38" s="10"/>
    </row>
    <row r="39" spans="1:13" x14ac:dyDescent="0.25">
      <c r="M39" s="10"/>
    </row>
    <row r="40" spans="1:13" x14ac:dyDescent="0.25">
      <c r="M40" s="10"/>
    </row>
    <row r="41" spans="1:13" x14ac:dyDescent="0.25">
      <c r="M41" s="10"/>
    </row>
    <row r="42" spans="1:13" x14ac:dyDescent="0.25">
      <c r="M42" s="10"/>
    </row>
    <row r="43" spans="1:13" x14ac:dyDescent="0.25">
      <c r="M43" s="10"/>
    </row>
    <row r="44" spans="1:13" x14ac:dyDescent="0.25">
      <c r="M44" s="10"/>
    </row>
    <row r="45" spans="1:13" x14ac:dyDescent="0.25">
      <c r="M45" s="10"/>
    </row>
    <row r="46" spans="1:13" x14ac:dyDescent="0.25">
      <c r="M46" s="10"/>
    </row>
    <row r="47" spans="1:13" x14ac:dyDescent="0.25">
      <c r="M47" s="10"/>
    </row>
    <row r="48" spans="1:13" ht="17.25" customHeight="1" x14ac:dyDescent="0.25">
      <c r="A48" s="188" t="s">
        <v>58</v>
      </c>
      <c r="B48" s="189"/>
      <c r="C48" s="189"/>
      <c r="M48" s="10"/>
    </row>
    <row r="49" spans="1:13" x14ac:dyDescent="0.25">
      <c r="A49" s="13"/>
      <c r="D49" s="62"/>
      <c r="E49" s="62"/>
      <c r="F49" s="62"/>
      <c r="G49" s="62"/>
      <c r="H49" s="62"/>
      <c r="I49" s="62"/>
      <c r="M49" s="10"/>
    </row>
    <row r="50" spans="1:13" ht="6.75" customHeight="1" x14ac:dyDescent="0.25">
      <c r="A50" s="63"/>
      <c r="B50" s="63"/>
      <c r="C50" s="63"/>
      <c r="D50" s="63"/>
      <c r="E50" s="63"/>
      <c r="F50" s="63"/>
      <c r="G50" s="63"/>
      <c r="H50" s="63"/>
      <c r="I50" s="63"/>
      <c r="M50" s="10"/>
    </row>
    <row r="51" spans="1:13" x14ac:dyDescent="0.25">
      <c r="A51" s="63"/>
      <c r="B51" s="63"/>
      <c r="C51" s="63"/>
      <c r="D51" s="63"/>
      <c r="E51" s="63"/>
      <c r="F51" s="63"/>
      <c r="G51" s="63"/>
      <c r="H51" s="63"/>
      <c r="I51" s="63"/>
      <c r="M51" s="10"/>
    </row>
    <row r="52" spans="1:13" x14ac:dyDescent="0.25">
      <c r="M52" s="10"/>
    </row>
    <row r="53" spans="1:13" x14ac:dyDescent="0.25">
      <c r="M53" s="10"/>
    </row>
    <row r="54" spans="1:13" x14ac:dyDescent="0.25">
      <c r="M54" s="10"/>
    </row>
    <row r="55" spans="1:13" x14ac:dyDescent="0.25">
      <c r="M55" s="10"/>
    </row>
    <row r="56" spans="1:13" x14ac:dyDescent="0.25">
      <c r="M56" s="10"/>
    </row>
    <row r="57" spans="1:13" x14ac:dyDescent="0.25">
      <c r="M57" s="10"/>
    </row>
    <row r="58" spans="1:13" x14ac:dyDescent="0.25">
      <c r="M58" s="10"/>
    </row>
    <row r="59" spans="1:13" x14ac:dyDescent="0.25">
      <c r="M59" s="10"/>
    </row>
    <row r="60" spans="1:13" x14ac:dyDescent="0.25">
      <c r="M60" s="10"/>
    </row>
    <row r="61" spans="1:13" x14ac:dyDescent="0.25">
      <c r="M61" s="10"/>
    </row>
    <row r="62" spans="1:13" x14ac:dyDescent="0.25">
      <c r="M62" s="10"/>
    </row>
    <row r="63" spans="1:13" x14ac:dyDescent="0.25">
      <c r="M63" s="10"/>
    </row>
    <row r="64" spans="1:13" x14ac:dyDescent="0.25">
      <c r="M64" s="10"/>
    </row>
    <row r="65" spans="13:13" x14ac:dyDescent="0.25">
      <c r="M65" s="10"/>
    </row>
    <row r="66" spans="13:13" x14ac:dyDescent="0.25">
      <c r="M66" s="10"/>
    </row>
    <row r="67" spans="13:13" x14ac:dyDescent="0.25">
      <c r="M67" s="10"/>
    </row>
    <row r="68" spans="13:13" x14ac:dyDescent="0.25">
      <c r="M68" s="10"/>
    </row>
    <row r="69" spans="13:13" x14ac:dyDescent="0.25">
      <c r="M69" s="10"/>
    </row>
    <row r="70" spans="13:13" x14ac:dyDescent="0.25">
      <c r="M70" s="10"/>
    </row>
    <row r="71" spans="13:13" x14ac:dyDescent="0.25">
      <c r="M71" s="10"/>
    </row>
    <row r="72" spans="13:13" x14ac:dyDescent="0.25">
      <c r="M72" s="10"/>
    </row>
    <row r="73" spans="13:13" x14ac:dyDescent="0.25">
      <c r="M73" s="10"/>
    </row>
    <row r="74" spans="13:13" x14ac:dyDescent="0.25">
      <c r="M74" s="10"/>
    </row>
    <row r="75" spans="13:13" x14ac:dyDescent="0.25">
      <c r="M75" s="10"/>
    </row>
    <row r="76" spans="13:13" x14ac:dyDescent="0.25">
      <c r="M76" s="10"/>
    </row>
    <row r="77" spans="13:13" x14ac:dyDescent="0.25">
      <c r="M77" s="10"/>
    </row>
    <row r="78" spans="13:13" x14ac:dyDescent="0.25">
      <c r="M78" s="10"/>
    </row>
    <row r="79" spans="13:13" x14ac:dyDescent="0.25">
      <c r="M79" s="10"/>
    </row>
    <row r="80" spans="13:13" x14ac:dyDescent="0.25">
      <c r="M80" s="10"/>
    </row>
    <row r="81" spans="13:13" x14ac:dyDescent="0.25">
      <c r="M81" s="10"/>
    </row>
    <row r="82" spans="13:13" x14ac:dyDescent="0.25">
      <c r="M82" s="10"/>
    </row>
    <row r="83" spans="13:13" x14ac:dyDescent="0.25">
      <c r="M83" s="10"/>
    </row>
    <row r="84" spans="13:13" x14ac:dyDescent="0.25">
      <c r="M84" s="10"/>
    </row>
    <row r="85" spans="13:13" x14ac:dyDescent="0.25">
      <c r="M85" s="10"/>
    </row>
    <row r="86" spans="13:13" x14ac:dyDescent="0.25">
      <c r="M86" s="10"/>
    </row>
    <row r="87" spans="13:13" x14ac:dyDescent="0.25">
      <c r="M87" s="10"/>
    </row>
    <row r="88" spans="13:13" x14ac:dyDescent="0.25">
      <c r="M88" s="10"/>
    </row>
  </sheetData>
  <sheetProtection algorithmName="SHA-512" hashValue="5MK6oaiOY6yV0xxYviHgqfiJtzCICu504AKfm8jb6L3/ws7AYxfbqSzhtFJONm9R1Fb5SDJ9j04yriKcuQ3V3g==" saltValue="qNYRXnwLm2uHvx75skUo6A==" spinCount="100000" sheet="1" objects="1" scenarios="1" selectLockedCells="1"/>
  <mergeCells count="2">
    <mergeCell ref="H4:I4"/>
    <mergeCell ref="A48:C48"/>
  </mergeCells>
  <conditionalFormatting sqref="R15:S17">
    <cfRule type="containsErrors" dxfId="8" priority="1">
      <formula>ISERROR(R15)</formula>
    </cfRule>
  </conditionalFormatting>
  <printOptions horizontalCentered="1"/>
  <pageMargins left="0.70866141732283472" right="0.70866141732283472" top="1.1811023622047245" bottom="0.59055118110236227" header="0.31496062992125984" footer="0.31496062992125984"/>
  <pageSetup paperSize="9"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view="pageLayout" zoomScaleNormal="100" workbookViewId="0">
      <selection activeCell="A2" sqref="A2"/>
    </sheetView>
  </sheetViews>
  <sheetFormatPr baseColWidth="10" defaultColWidth="11.42578125" defaultRowHeight="15" x14ac:dyDescent="0.25"/>
  <cols>
    <col min="3" max="3" width="4.28515625" customWidth="1"/>
    <col min="4" max="4" width="11" customWidth="1"/>
    <col min="5" max="5" width="12.7109375" customWidth="1"/>
    <col min="6" max="7" width="11" customWidth="1"/>
    <col min="8" max="8" width="13.5703125" customWidth="1"/>
  </cols>
  <sheetData>
    <row r="1" spans="1:8" s="15" customFormat="1" ht="34.5" customHeight="1" x14ac:dyDescent="0.25">
      <c r="A1" s="190" t="s">
        <v>90</v>
      </c>
      <c r="B1" s="190"/>
      <c r="C1" s="190"/>
      <c r="D1" s="190"/>
      <c r="E1" s="190"/>
    </row>
    <row r="2" spans="1:8" s="10" customFormat="1" x14ac:dyDescent="0.25">
      <c r="A2" s="8" t="s">
        <v>0</v>
      </c>
      <c r="B2" s="14" t="str">
        <f>IF(Start!C3="","",Start!C3)</f>
        <v>Name</v>
      </c>
      <c r="G2" s="8" t="s">
        <v>1</v>
      </c>
      <c r="H2" s="11">
        <f>IF(Start!C2&gt;1,Start!C2,"")</f>
        <v>43539</v>
      </c>
    </row>
    <row r="3" spans="1:8" x14ac:dyDescent="0.25">
      <c r="A3" s="8" t="s">
        <v>2</v>
      </c>
      <c r="B3" s="14" t="str">
        <f>IF(Start!C4="","",Start!C4)</f>
        <v>Vorname</v>
      </c>
      <c r="C3" s="10"/>
      <c r="D3" s="10"/>
      <c r="E3" s="10"/>
      <c r="F3" s="10"/>
      <c r="G3" s="10"/>
      <c r="H3" s="10"/>
    </row>
    <row r="4" spans="1:8" ht="15" customHeight="1" x14ac:dyDescent="0.25">
      <c r="A4" s="10" t="s">
        <v>4</v>
      </c>
      <c r="B4" s="17">
        <f>IF(Start!C6="","",Start!C6)</f>
        <v>23133</v>
      </c>
    </row>
    <row r="5" spans="1:8" x14ac:dyDescent="0.25">
      <c r="A5" s="10" t="s">
        <v>8</v>
      </c>
      <c r="B5" s="18">
        <f>IF(B4="","",IF(H2="","",(H2-B4)/365))</f>
        <v>55.906849315068492</v>
      </c>
      <c r="C5" s="2"/>
    </row>
    <row r="6" spans="1:8" x14ac:dyDescent="0.25">
      <c r="A6" s="10" t="s">
        <v>46</v>
      </c>
      <c r="B6" s="19" t="str">
        <f>IF(Start!C7="","",Start!C7)</f>
        <v/>
      </c>
      <c r="C6" s="2"/>
    </row>
    <row r="7" spans="1:8" x14ac:dyDescent="0.25">
      <c r="A7" s="10" t="s">
        <v>7</v>
      </c>
      <c r="B7" s="58">
        <f>IF(Start!C9="","",Start!C9)</f>
        <v>83</v>
      </c>
      <c r="C7" s="4"/>
    </row>
    <row r="8" spans="1:8" x14ac:dyDescent="0.25">
      <c r="A8" s="10" t="s">
        <v>48</v>
      </c>
      <c r="B8" s="43">
        <f>IF(Start!C8="","",Start!C8)</f>
        <v>157</v>
      </c>
      <c r="C8" s="2"/>
    </row>
    <row r="9" spans="1:8" x14ac:dyDescent="0.25">
      <c r="A9" s="10" t="s">
        <v>5</v>
      </c>
      <c r="B9" s="9" t="str">
        <f>IF(Start!C5="","",Start!C5)</f>
        <v>w</v>
      </c>
      <c r="C9" s="2"/>
    </row>
    <row r="10" spans="1:8" x14ac:dyDescent="0.25">
      <c r="B10" s="5"/>
      <c r="C10" s="5"/>
    </row>
    <row r="11" spans="1:8" ht="33" customHeight="1" x14ac:dyDescent="0.35">
      <c r="F11" s="69" t="s">
        <v>64</v>
      </c>
      <c r="G11" s="1" t="s">
        <v>25</v>
      </c>
      <c r="H11" s="1" t="s">
        <v>18</v>
      </c>
    </row>
    <row r="12" spans="1:8" x14ac:dyDescent="0.25">
      <c r="D12" t="s">
        <v>1</v>
      </c>
      <c r="E12" t="s">
        <v>26</v>
      </c>
      <c r="F12" s="69" t="s">
        <v>65</v>
      </c>
      <c r="G12" s="1" t="s">
        <v>55</v>
      </c>
      <c r="H12" t="s">
        <v>27</v>
      </c>
    </row>
    <row r="13" spans="1:8" x14ac:dyDescent="0.25">
      <c r="D13" s="3">
        <f>IF('Test 1'!G3="","",'Test 1'!G3)</f>
        <v>43539</v>
      </c>
      <c r="E13" s="71">
        <f>IF(Laktat!E6="","",Laktat!E6)</f>
        <v>90</v>
      </c>
      <c r="F13" s="7">
        <f>IF(E13="","",IF(B7="","",E13*13/B7))</f>
        <v>14.096385542168674</v>
      </c>
      <c r="G13" s="7">
        <f>IF(F13="","",F13*60*4.8/1000)</f>
        <v>4.0597590361445786</v>
      </c>
      <c r="H13" s="7">
        <f>IF('PWC 130'!G6="","",'PWC 130'!G6)</f>
        <v>1.3734939759036144</v>
      </c>
    </row>
    <row r="14" spans="1:8" x14ac:dyDescent="0.25">
      <c r="D14" s="12"/>
      <c r="E14" s="71"/>
      <c r="F14" s="7"/>
      <c r="G14" s="7"/>
      <c r="H14" s="7"/>
    </row>
    <row r="15" spans="1:8" x14ac:dyDescent="0.25">
      <c r="D15" s="3"/>
      <c r="E15" s="1"/>
      <c r="F15" s="7"/>
      <c r="G15" s="7"/>
      <c r="H15" s="7"/>
    </row>
    <row r="43" spans="1:4" x14ac:dyDescent="0.25">
      <c r="D43" s="6"/>
    </row>
    <row r="46" spans="1:4" x14ac:dyDescent="0.25">
      <c r="A46" s="191" t="s">
        <v>57</v>
      </c>
      <c r="B46" s="192"/>
      <c r="C46" s="192"/>
      <c r="D46" s="192"/>
    </row>
    <row r="47" spans="1:4" x14ac:dyDescent="0.25">
      <c r="A47" s="178"/>
      <c r="B47" s="68"/>
      <c r="C47" s="68"/>
      <c r="D47" s="68"/>
    </row>
  </sheetData>
  <sheetProtection algorithmName="SHA-512" hashValue="H5Pm1u/3IY9oDo4FQR4JosJXXMDqoKXJrXcB0ZVxNbjGhDxIyd0OWmHaAcuGdZoCHeUhzt9BJkrX/4o7A4xfKQ==" saltValue="vyszAXnyKIcI/oYN5YrvyQ==" spinCount="100000" sheet="1" objects="1" scenarios="1" selectLockedCells="1"/>
  <mergeCells count="2">
    <mergeCell ref="A1:E1"/>
    <mergeCell ref="A46:D46"/>
  </mergeCells>
  <conditionalFormatting sqref="H15">
    <cfRule type="cellIs" dxfId="7" priority="1" operator="equal">
      <formula>0</formula>
    </cfRule>
  </conditionalFormatting>
  <printOptions horizontalCentered="1"/>
  <pageMargins left="0.51181102362204722" right="0.51181102362204722" top="1.1811023622047245" bottom="0.59055118110236227" header="0.31496062992125984" footer="0.31496062992125984"/>
  <pageSetup paperSize="9" fitToWidth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51"/>
  <sheetViews>
    <sheetView view="pageLayout" zoomScaleNormal="100" workbookViewId="0">
      <selection activeCell="K74" sqref="K74"/>
    </sheetView>
  </sheetViews>
  <sheetFormatPr baseColWidth="10" defaultColWidth="11.42578125" defaultRowHeight="15" x14ac:dyDescent="0.25"/>
  <cols>
    <col min="1" max="5" width="13.5703125" style="34" customWidth="1"/>
    <col min="6" max="6" width="0.28515625" style="34" customWidth="1"/>
    <col min="7" max="40" width="14.28515625" style="34" customWidth="1"/>
    <col min="41" max="41" width="11.5703125" style="53" customWidth="1"/>
    <col min="42" max="42" width="12.7109375" style="65" customWidth="1"/>
    <col min="43" max="50" width="12.7109375" style="53" customWidth="1"/>
    <col min="51" max="57" width="15.7109375" style="53" customWidth="1"/>
    <col min="58" max="58" width="11.42578125" style="53"/>
    <col min="59" max="60" width="11.5703125" style="53" bestFit="1" customWidth="1"/>
    <col min="61" max="61" width="12.7109375" style="53" bestFit="1" customWidth="1"/>
    <col min="62" max="68" width="11.5703125" style="53" bestFit="1" customWidth="1"/>
    <col min="69" max="69" width="11.42578125" style="53"/>
    <col min="70" max="79" width="11.5703125" style="53" bestFit="1" customWidth="1"/>
    <col min="80" max="82" width="11.42578125" style="53"/>
    <col min="83" max="16384" width="11.42578125" style="34"/>
  </cols>
  <sheetData>
    <row r="1" spans="1:79" ht="33.75" customHeight="1" x14ac:dyDescent="0.25">
      <c r="A1" s="184" t="s">
        <v>72</v>
      </c>
      <c r="B1" s="184"/>
    </row>
    <row r="2" spans="1:79" ht="13.5" customHeight="1" x14ac:dyDescent="0.25">
      <c r="AX2" s="53" t="s">
        <v>67</v>
      </c>
      <c r="AY2" s="53" t="s">
        <v>68</v>
      </c>
    </row>
    <row r="3" spans="1:79" x14ac:dyDescent="0.25">
      <c r="A3" s="35" t="s">
        <v>0</v>
      </c>
      <c r="B3" s="75" t="str">
        <f>IF(Start!C3="","",Start!C3)</f>
        <v>Name</v>
      </c>
      <c r="E3" s="34" t="s">
        <v>1</v>
      </c>
      <c r="G3" s="60">
        <f>IF(Start!E2="","",Start!E2)</f>
        <v>43831</v>
      </c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P3" s="83"/>
      <c r="AQ3" s="93"/>
      <c r="AR3" s="93"/>
      <c r="AT3" s="94"/>
      <c r="AX3" s="53" t="s">
        <v>43</v>
      </c>
      <c r="AZ3" s="78"/>
      <c r="BF3" s="61"/>
      <c r="BG3" s="53" t="s">
        <v>66</v>
      </c>
      <c r="BR3" s="53" t="s">
        <v>70</v>
      </c>
    </row>
    <row r="4" spans="1:79" ht="17.25" x14ac:dyDescent="0.25">
      <c r="A4" s="35" t="s">
        <v>2</v>
      </c>
      <c r="B4" s="75" t="str">
        <f>IF(Start!C4="","",Start!C4)</f>
        <v>Vorname</v>
      </c>
      <c r="E4" s="34" t="s">
        <v>3</v>
      </c>
      <c r="G4" s="72" t="str">
        <f>IF(Start!E10="","",Start!E10)</f>
        <v/>
      </c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P4" s="84"/>
      <c r="AQ4" s="95"/>
      <c r="AR4" s="95"/>
      <c r="AT4" s="94"/>
      <c r="AX4" s="53" t="s">
        <v>33</v>
      </c>
      <c r="AY4" s="53" t="s">
        <v>29</v>
      </c>
      <c r="BA4" s="53" t="s">
        <v>44</v>
      </c>
      <c r="BB4" s="53" t="s">
        <v>28</v>
      </c>
      <c r="BC4" s="53" t="s">
        <v>35</v>
      </c>
      <c r="BD4" s="53" t="s">
        <v>36</v>
      </c>
      <c r="BE4" s="53" t="s">
        <v>73</v>
      </c>
      <c r="BF4" s="61"/>
      <c r="BH4" s="53" t="s">
        <v>15</v>
      </c>
      <c r="BI4" s="53" t="s">
        <v>29</v>
      </c>
      <c r="BJ4" s="53" t="s">
        <v>37</v>
      </c>
      <c r="BK4" s="53" t="s">
        <v>44</v>
      </c>
      <c r="BL4" s="53" t="s">
        <v>28</v>
      </c>
      <c r="BM4" s="53" t="s">
        <v>35</v>
      </c>
      <c r="BN4" s="53" t="s">
        <v>36</v>
      </c>
      <c r="BO4" s="53" t="s">
        <v>73</v>
      </c>
      <c r="BP4" s="53" t="s">
        <v>38</v>
      </c>
      <c r="BS4" s="53" t="s">
        <v>15</v>
      </c>
      <c r="BT4" s="53" t="s">
        <v>33</v>
      </c>
      <c r="BU4" s="53" t="s">
        <v>37</v>
      </c>
      <c r="BV4" s="53" t="s">
        <v>44</v>
      </c>
      <c r="BW4" s="53" t="s">
        <v>28</v>
      </c>
      <c r="BX4" s="53" t="s">
        <v>35</v>
      </c>
      <c r="BY4" s="53" t="s">
        <v>36</v>
      </c>
      <c r="BZ4" s="53" t="s">
        <v>69</v>
      </c>
      <c r="CA4" s="53" t="s">
        <v>38</v>
      </c>
    </row>
    <row r="5" spans="1:79" x14ac:dyDescent="0.25">
      <c r="A5" s="34" t="s">
        <v>5</v>
      </c>
      <c r="B5" s="36" t="str">
        <f>IF(Start!C5="","",Start!C5)</f>
        <v>w</v>
      </c>
      <c r="E5" s="37" t="s">
        <v>8</v>
      </c>
      <c r="G5" s="38">
        <f>IF(G3="","",IF(B6="","",(G3-B6)/365))</f>
        <v>56.706849315068496</v>
      </c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P5" s="85"/>
      <c r="AQ5" s="96"/>
      <c r="AR5" s="96"/>
      <c r="AT5" s="94"/>
      <c r="AW5" s="53">
        <v>1</v>
      </c>
      <c r="AX5" s="97">
        <f t="shared" ref="AX5:AX11" si="0">IF(A13="",#N/A,E13)</f>
        <v>70</v>
      </c>
      <c r="AY5" s="53">
        <f t="shared" ref="AY5:AY8" si="1">IF(A13="",#N/A,A13)</f>
        <v>0</v>
      </c>
      <c r="AZ5" s="53">
        <f>IF($A$13="",#N/A,130)</f>
        <v>130</v>
      </c>
      <c r="BA5" s="97">
        <f t="shared" ref="BA5:BA11" si="2">IF(A13="",#N/A,A13)</f>
        <v>0</v>
      </c>
      <c r="BB5" s="53">
        <f>BA5</f>
        <v>0</v>
      </c>
      <c r="BC5" s="53">
        <f>BB5*BB5</f>
        <v>0</v>
      </c>
      <c r="BD5" s="53">
        <f>BC5*BA5</f>
        <v>0</v>
      </c>
      <c r="BE5" s="53">
        <f>BD5*BB5</f>
        <v>0</v>
      </c>
      <c r="BF5" s="61"/>
      <c r="BG5" s="53">
        <v>1</v>
      </c>
      <c r="BH5" s="53">
        <f>IF(G13="",#N/A,G13)</f>
        <v>1.3</v>
      </c>
      <c r="BI5" s="78">
        <f>IF(A13="",#N/A,A13)</f>
        <v>0</v>
      </c>
      <c r="BJ5" s="119">
        <f>IF($G$22="",#N/A,$G$22+0.2)</f>
        <v>1.5</v>
      </c>
      <c r="BK5" s="78">
        <f>BI5</f>
        <v>0</v>
      </c>
      <c r="BL5" s="53">
        <f>BK5</f>
        <v>0</v>
      </c>
      <c r="BM5" s="53">
        <f>BL5*BL5</f>
        <v>0</v>
      </c>
      <c r="BN5" s="53">
        <f>BM5*BK5</f>
        <v>0</v>
      </c>
      <c r="BO5" s="53">
        <f>BN5*BL5</f>
        <v>0</v>
      </c>
      <c r="BP5" s="119">
        <f>BJ5+1.5</f>
        <v>3</v>
      </c>
      <c r="BR5" s="53">
        <v>1</v>
      </c>
      <c r="BS5" s="53">
        <f>IF(A13="",#N/A,G13)</f>
        <v>1.3</v>
      </c>
      <c r="BT5" s="53">
        <f>IF(A13="",#N/A,E13)</f>
        <v>70</v>
      </c>
      <c r="BU5" s="53">
        <f>IF(G22="",#N/A,$G$22+0.2)</f>
        <v>1.5</v>
      </c>
      <c r="BV5" s="53">
        <f>BT5</f>
        <v>70</v>
      </c>
      <c r="BW5" s="53">
        <f>BV5</f>
        <v>70</v>
      </c>
      <c r="BX5" s="53">
        <f>BW5*BW5</f>
        <v>4900</v>
      </c>
      <c r="BY5" s="53">
        <f>BX5*BV5</f>
        <v>343000</v>
      </c>
      <c r="BZ5" s="53">
        <f>BY5*BW5</f>
        <v>24010000</v>
      </c>
      <c r="CA5" s="53">
        <f>BU5+1.5</f>
        <v>3</v>
      </c>
    </row>
    <row r="6" spans="1:79" x14ac:dyDescent="0.25">
      <c r="A6" s="34" t="s">
        <v>49</v>
      </c>
      <c r="B6" s="39">
        <f>IF(Start!C6="","",Start!C6)</f>
        <v>23133</v>
      </c>
      <c r="E6" s="40" t="s">
        <v>9</v>
      </c>
      <c r="G6" s="41">
        <f>IF(G5="","",(220-G5)*0.9)</f>
        <v>146.96383561643836</v>
      </c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P6" s="86"/>
      <c r="AQ6" s="98"/>
      <c r="AR6" s="98"/>
      <c r="AT6" s="94"/>
      <c r="AW6" s="53">
        <v>2</v>
      </c>
      <c r="AX6" s="97">
        <f t="shared" si="0"/>
        <v>84</v>
      </c>
      <c r="AY6" s="53">
        <f t="shared" si="1"/>
        <v>40</v>
      </c>
      <c r="AZ6" s="53">
        <f t="shared" ref="AZ6:AZ11" si="3">IF($A$13="",#N/A,130)</f>
        <v>130</v>
      </c>
      <c r="BA6" s="97">
        <f t="shared" si="2"/>
        <v>40</v>
      </c>
      <c r="BB6" s="53">
        <f t="shared" ref="BB6:BB11" si="4">BA6</f>
        <v>40</v>
      </c>
      <c r="BC6" s="53">
        <f t="shared" ref="BC6:BC11" si="5">BB6*BB6</f>
        <v>1600</v>
      </c>
      <c r="BD6" s="53">
        <f t="shared" ref="BD6:BE11" si="6">BC6*BA6</f>
        <v>64000</v>
      </c>
      <c r="BE6" s="53">
        <f t="shared" si="6"/>
        <v>2560000</v>
      </c>
      <c r="BF6" s="61"/>
      <c r="BG6" s="53">
        <v>2</v>
      </c>
      <c r="BH6" s="53">
        <f t="shared" ref="BH6:BH11" si="7">IF(G14="",#N/A,G14)</f>
        <v>1.3</v>
      </c>
      <c r="BI6" s="78">
        <f>IF(E14="",#N/A,A14)</f>
        <v>40</v>
      </c>
      <c r="BJ6" s="119">
        <f>BJ5</f>
        <v>1.5</v>
      </c>
      <c r="BK6" s="78">
        <f t="shared" ref="BK6:BK11" si="8">BI6</f>
        <v>40</v>
      </c>
      <c r="BL6" s="53">
        <f t="shared" ref="BL6:BL11" si="9">BK6</f>
        <v>40</v>
      </c>
      <c r="BM6" s="53">
        <f t="shared" ref="BM6:BM11" si="10">BL6*BL6</f>
        <v>1600</v>
      </c>
      <c r="BN6" s="53">
        <f t="shared" ref="BN6:BO11" si="11">BM6*BK6</f>
        <v>64000</v>
      </c>
      <c r="BO6" s="53">
        <f t="shared" si="11"/>
        <v>2560000</v>
      </c>
      <c r="BP6" s="119">
        <f t="shared" ref="BP6:BP11" si="12">BJ6+1.5</f>
        <v>3</v>
      </c>
      <c r="BR6" s="53">
        <v>2</v>
      </c>
      <c r="BS6" s="53">
        <f t="shared" ref="BS6:BS11" si="13">IF(A14="",#N/A,G14)</f>
        <v>1.3</v>
      </c>
      <c r="BT6" s="53">
        <f t="shared" ref="BT6:BT11" si="14">IF(A14="",#N/A,E14)</f>
        <v>84</v>
      </c>
      <c r="BU6" s="53">
        <f t="shared" ref="BU6:BU11" si="15">$G$22+0.2</f>
        <v>1.5</v>
      </c>
      <c r="BV6" s="53">
        <f t="shared" ref="BV6:BV11" si="16">BT6</f>
        <v>84</v>
      </c>
      <c r="BW6" s="53">
        <f t="shared" ref="BW6:BW11" si="17">BV6</f>
        <v>84</v>
      </c>
      <c r="BX6" s="53">
        <f t="shared" ref="BX6:BX11" si="18">BW6*BW6</f>
        <v>7056</v>
      </c>
      <c r="BY6" s="53">
        <f t="shared" ref="BY6:BZ11" si="19">BX6*BV6</f>
        <v>592704</v>
      </c>
      <c r="BZ6" s="53">
        <f t="shared" si="19"/>
        <v>49787136</v>
      </c>
      <c r="CA6" s="53">
        <f t="shared" ref="CA6:CA11" si="20">BU6+1.5</f>
        <v>3</v>
      </c>
    </row>
    <row r="7" spans="1:79" x14ac:dyDescent="0.25">
      <c r="A7" s="34" t="s">
        <v>45</v>
      </c>
      <c r="B7" s="36" t="str">
        <f>IF(Start!C7="","",Start!C7)</f>
        <v/>
      </c>
      <c r="E7" s="34" t="s">
        <v>52</v>
      </c>
      <c r="G7" s="42">
        <f>IF(Start!E11="","",Start!E11)</f>
        <v>0</v>
      </c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P7" s="87"/>
      <c r="AQ7" s="99"/>
      <c r="AR7" s="99"/>
      <c r="AT7" s="94"/>
      <c r="AW7" s="53">
        <v>3</v>
      </c>
      <c r="AX7" s="97">
        <f t="shared" si="0"/>
        <v>97</v>
      </c>
      <c r="AY7" s="53">
        <f t="shared" si="1"/>
        <v>80</v>
      </c>
      <c r="AZ7" s="53">
        <f t="shared" si="3"/>
        <v>130</v>
      </c>
      <c r="BA7" s="97">
        <f t="shared" si="2"/>
        <v>80</v>
      </c>
      <c r="BB7" s="53">
        <f t="shared" si="4"/>
        <v>80</v>
      </c>
      <c r="BC7" s="53">
        <f t="shared" si="5"/>
        <v>6400</v>
      </c>
      <c r="BD7" s="53">
        <f t="shared" si="6"/>
        <v>512000</v>
      </c>
      <c r="BE7" s="53">
        <f t="shared" si="6"/>
        <v>40960000</v>
      </c>
      <c r="BF7" s="61"/>
      <c r="BG7" s="53">
        <v>3</v>
      </c>
      <c r="BH7" s="53">
        <f t="shared" si="7"/>
        <v>1.9</v>
      </c>
      <c r="BI7" s="78">
        <f t="shared" ref="BI7:BI8" si="21">IF(E15="",#N/A,A15)</f>
        <v>80</v>
      </c>
      <c r="BJ7" s="119">
        <f t="shared" ref="BJ7:BJ11" si="22">BJ6</f>
        <v>1.5</v>
      </c>
      <c r="BK7" s="78">
        <f t="shared" si="8"/>
        <v>80</v>
      </c>
      <c r="BL7" s="53">
        <f t="shared" si="9"/>
        <v>80</v>
      </c>
      <c r="BM7" s="53">
        <f t="shared" si="10"/>
        <v>6400</v>
      </c>
      <c r="BN7" s="53">
        <f t="shared" si="11"/>
        <v>512000</v>
      </c>
      <c r="BO7" s="53">
        <f t="shared" si="11"/>
        <v>40960000</v>
      </c>
      <c r="BP7" s="119">
        <f t="shared" si="12"/>
        <v>3</v>
      </c>
      <c r="BR7" s="53">
        <v>3</v>
      </c>
      <c r="BS7" s="53">
        <f t="shared" si="13"/>
        <v>1.9</v>
      </c>
      <c r="BT7" s="53">
        <f t="shared" si="14"/>
        <v>97</v>
      </c>
      <c r="BU7" s="53">
        <f t="shared" si="15"/>
        <v>1.5</v>
      </c>
      <c r="BV7" s="53">
        <f t="shared" si="16"/>
        <v>97</v>
      </c>
      <c r="BW7" s="53">
        <f t="shared" si="17"/>
        <v>97</v>
      </c>
      <c r="BX7" s="53">
        <f t="shared" si="18"/>
        <v>9409</v>
      </c>
      <c r="BY7" s="53">
        <f t="shared" si="19"/>
        <v>912673</v>
      </c>
      <c r="BZ7" s="53">
        <f t="shared" si="19"/>
        <v>88529281</v>
      </c>
      <c r="CA7" s="53">
        <f t="shared" si="20"/>
        <v>3</v>
      </c>
    </row>
    <row r="8" spans="1:79" x14ac:dyDescent="0.25">
      <c r="A8" s="34" t="s">
        <v>6</v>
      </c>
      <c r="B8" s="43">
        <f>IF(Start!C8="","",Start!C8)</f>
        <v>157</v>
      </c>
      <c r="E8" s="34" t="s">
        <v>10</v>
      </c>
      <c r="G8" s="42">
        <f>IF(Start!E12="","",Start!E12)</f>
        <v>40</v>
      </c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P8" s="87"/>
      <c r="AQ8" s="99"/>
      <c r="AR8" s="99"/>
      <c r="AT8" s="94"/>
      <c r="AW8" s="53">
        <v>4</v>
      </c>
      <c r="AX8" s="97">
        <f t="shared" si="0"/>
        <v>113</v>
      </c>
      <c r="AY8" s="53">
        <f t="shared" si="1"/>
        <v>120</v>
      </c>
      <c r="AZ8" s="53">
        <f t="shared" si="3"/>
        <v>130</v>
      </c>
      <c r="BA8" s="97">
        <f t="shared" si="2"/>
        <v>120</v>
      </c>
      <c r="BB8" s="53">
        <f t="shared" si="4"/>
        <v>120</v>
      </c>
      <c r="BC8" s="53">
        <f t="shared" si="5"/>
        <v>14400</v>
      </c>
      <c r="BD8" s="53">
        <f t="shared" si="6"/>
        <v>1728000</v>
      </c>
      <c r="BE8" s="53">
        <f t="shared" si="6"/>
        <v>207360000</v>
      </c>
      <c r="BF8" s="61"/>
      <c r="BG8" s="53">
        <v>4</v>
      </c>
      <c r="BH8" s="53">
        <f t="shared" si="7"/>
        <v>2.6</v>
      </c>
      <c r="BI8" s="78">
        <f t="shared" si="21"/>
        <v>120</v>
      </c>
      <c r="BJ8" s="119">
        <f t="shared" si="22"/>
        <v>1.5</v>
      </c>
      <c r="BK8" s="78">
        <f t="shared" si="8"/>
        <v>120</v>
      </c>
      <c r="BL8" s="53">
        <f t="shared" si="9"/>
        <v>120</v>
      </c>
      <c r="BM8" s="53">
        <f t="shared" si="10"/>
        <v>14400</v>
      </c>
      <c r="BN8" s="53">
        <f t="shared" si="11"/>
        <v>1728000</v>
      </c>
      <c r="BO8" s="53">
        <f t="shared" si="11"/>
        <v>207360000</v>
      </c>
      <c r="BP8" s="119">
        <f t="shared" si="12"/>
        <v>3</v>
      </c>
      <c r="BR8" s="53">
        <v>4</v>
      </c>
      <c r="BS8" s="53">
        <f t="shared" si="13"/>
        <v>2.6</v>
      </c>
      <c r="BT8" s="53">
        <f t="shared" si="14"/>
        <v>113</v>
      </c>
      <c r="BU8" s="53">
        <f t="shared" si="15"/>
        <v>1.5</v>
      </c>
      <c r="BV8" s="53">
        <f t="shared" si="16"/>
        <v>113</v>
      </c>
      <c r="BW8" s="53">
        <f t="shared" si="17"/>
        <v>113</v>
      </c>
      <c r="BX8" s="53">
        <f t="shared" si="18"/>
        <v>12769</v>
      </c>
      <c r="BY8" s="53">
        <f t="shared" si="19"/>
        <v>1442897</v>
      </c>
      <c r="BZ8" s="53">
        <f t="shared" si="19"/>
        <v>163047361</v>
      </c>
      <c r="CA8" s="53">
        <f t="shared" si="20"/>
        <v>3</v>
      </c>
    </row>
    <row r="9" spans="1:79" x14ac:dyDescent="0.25">
      <c r="A9" s="34" t="s">
        <v>7</v>
      </c>
      <c r="B9" s="44">
        <f>IF(Start!E9="","",Start!E9)</f>
        <v>80</v>
      </c>
      <c r="AT9" s="94"/>
      <c r="AW9" s="53">
        <v>5</v>
      </c>
      <c r="AX9" s="53">
        <f t="shared" si="0"/>
        <v>135</v>
      </c>
      <c r="AY9" s="53">
        <f>IF(A17="",#N/A,A17)</f>
        <v>160</v>
      </c>
      <c r="AZ9" s="53">
        <f t="shared" si="3"/>
        <v>130</v>
      </c>
      <c r="BA9" s="97">
        <f t="shared" si="2"/>
        <v>160</v>
      </c>
      <c r="BB9" s="94">
        <f t="shared" si="4"/>
        <v>160</v>
      </c>
      <c r="BC9" s="94">
        <f t="shared" si="5"/>
        <v>25600</v>
      </c>
      <c r="BD9" s="53">
        <f t="shared" si="6"/>
        <v>4096000</v>
      </c>
      <c r="BE9" s="53">
        <f t="shared" si="6"/>
        <v>655360000</v>
      </c>
      <c r="BF9" s="61"/>
      <c r="BG9" s="53">
        <v>5</v>
      </c>
      <c r="BH9" s="53">
        <f t="shared" si="7"/>
        <v>4.2</v>
      </c>
      <c r="BI9" s="78">
        <f t="shared" ref="BI9:BI11" si="23">IF(A17="",#N/A,A17)</f>
        <v>160</v>
      </c>
      <c r="BJ9" s="119">
        <f t="shared" si="22"/>
        <v>1.5</v>
      </c>
      <c r="BK9" s="78">
        <f t="shared" si="8"/>
        <v>160</v>
      </c>
      <c r="BL9" s="53">
        <f t="shared" si="9"/>
        <v>160</v>
      </c>
      <c r="BM9" s="53">
        <f t="shared" si="10"/>
        <v>25600</v>
      </c>
      <c r="BN9" s="53">
        <f t="shared" si="11"/>
        <v>4096000</v>
      </c>
      <c r="BO9" s="53">
        <f t="shared" si="11"/>
        <v>655360000</v>
      </c>
      <c r="BP9" s="119">
        <f t="shared" si="12"/>
        <v>3</v>
      </c>
      <c r="BR9" s="53">
        <v>5</v>
      </c>
      <c r="BS9" s="53">
        <f t="shared" si="13"/>
        <v>4.2</v>
      </c>
      <c r="BT9" s="53">
        <f t="shared" si="14"/>
        <v>135</v>
      </c>
      <c r="BU9" s="53">
        <f t="shared" si="15"/>
        <v>1.5</v>
      </c>
      <c r="BV9" s="53">
        <f t="shared" si="16"/>
        <v>135</v>
      </c>
      <c r="BW9" s="53">
        <f t="shared" si="17"/>
        <v>135</v>
      </c>
      <c r="BX9" s="53">
        <f t="shared" si="18"/>
        <v>18225</v>
      </c>
      <c r="BY9" s="53">
        <f t="shared" si="19"/>
        <v>2460375</v>
      </c>
      <c r="BZ9" s="53">
        <f t="shared" si="19"/>
        <v>332150625</v>
      </c>
      <c r="CA9" s="53">
        <f t="shared" si="20"/>
        <v>3</v>
      </c>
    </row>
    <row r="10" spans="1:79" x14ac:dyDescent="0.25">
      <c r="AT10" s="94"/>
      <c r="AW10" s="53">
        <v>6</v>
      </c>
      <c r="AX10" s="53" t="e">
        <f t="shared" si="0"/>
        <v>#N/A</v>
      </c>
      <c r="AY10" s="53" t="e">
        <f>IF(A18="",#N/A,A18)</f>
        <v>#N/A</v>
      </c>
      <c r="AZ10" s="53">
        <f t="shared" si="3"/>
        <v>130</v>
      </c>
      <c r="BA10" s="97" t="e">
        <f t="shared" si="2"/>
        <v>#N/A</v>
      </c>
      <c r="BB10" s="94" t="e">
        <f t="shared" si="4"/>
        <v>#N/A</v>
      </c>
      <c r="BC10" s="94" t="e">
        <f t="shared" si="5"/>
        <v>#N/A</v>
      </c>
      <c r="BD10" s="53" t="e">
        <f t="shared" si="6"/>
        <v>#N/A</v>
      </c>
      <c r="BE10" s="53" t="e">
        <f t="shared" si="6"/>
        <v>#N/A</v>
      </c>
      <c r="BG10" s="53">
        <v>6</v>
      </c>
      <c r="BH10" s="53" t="e">
        <f t="shared" si="7"/>
        <v>#N/A</v>
      </c>
      <c r="BI10" s="78" t="e">
        <f t="shared" si="23"/>
        <v>#N/A</v>
      </c>
      <c r="BJ10" s="119">
        <f t="shared" si="22"/>
        <v>1.5</v>
      </c>
      <c r="BK10" s="78" t="e">
        <f t="shared" si="8"/>
        <v>#N/A</v>
      </c>
      <c r="BL10" s="53" t="e">
        <f t="shared" si="9"/>
        <v>#N/A</v>
      </c>
      <c r="BM10" s="53" t="e">
        <f t="shared" si="10"/>
        <v>#N/A</v>
      </c>
      <c r="BN10" s="53" t="e">
        <f t="shared" si="11"/>
        <v>#N/A</v>
      </c>
      <c r="BO10" s="53" t="e">
        <f t="shared" si="11"/>
        <v>#N/A</v>
      </c>
      <c r="BP10" s="119">
        <f t="shared" si="12"/>
        <v>3</v>
      </c>
      <c r="BR10" s="53">
        <v>6</v>
      </c>
      <c r="BS10" s="53" t="e">
        <f t="shared" si="13"/>
        <v>#N/A</v>
      </c>
      <c r="BT10" s="53" t="e">
        <f t="shared" si="14"/>
        <v>#N/A</v>
      </c>
      <c r="BU10" s="53">
        <f t="shared" si="15"/>
        <v>1.5</v>
      </c>
      <c r="BV10" s="53" t="e">
        <f t="shared" si="16"/>
        <v>#N/A</v>
      </c>
      <c r="BW10" s="53" t="e">
        <f t="shared" si="17"/>
        <v>#N/A</v>
      </c>
      <c r="BX10" s="53" t="e">
        <f t="shared" si="18"/>
        <v>#N/A</v>
      </c>
      <c r="BY10" s="53" t="e">
        <f t="shared" si="19"/>
        <v>#N/A</v>
      </c>
      <c r="BZ10" s="53" t="e">
        <f t="shared" si="19"/>
        <v>#N/A</v>
      </c>
      <c r="CA10" s="53">
        <f t="shared" si="20"/>
        <v>3</v>
      </c>
    </row>
    <row r="11" spans="1:79" x14ac:dyDescent="0.25">
      <c r="AW11" s="53">
        <v>7</v>
      </c>
      <c r="AX11" s="53" t="e">
        <f t="shared" si="0"/>
        <v>#N/A</v>
      </c>
      <c r="AY11" s="53" t="e">
        <f>IF(A19="",#N/A,A19)</f>
        <v>#N/A</v>
      </c>
      <c r="AZ11" s="53">
        <f t="shared" si="3"/>
        <v>130</v>
      </c>
      <c r="BA11" s="97" t="e">
        <f t="shared" si="2"/>
        <v>#N/A</v>
      </c>
      <c r="BB11" s="94" t="e">
        <f t="shared" si="4"/>
        <v>#N/A</v>
      </c>
      <c r="BC11" s="94" t="e">
        <f t="shared" si="5"/>
        <v>#N/A</v>
      </c>
      <c r="BD11" s="53" t="e">
        <f t="shared" si="6"/>
        <v>#N/A</v>
      </c>
      <c r="BE11" s="53" t="e">
        <f t="shared" si="6"/>
        <v>#N/A</v>
      </c>
      <c r="BG11" s="53">
        <v>7</v>
      </c>
      <c r="BH11" s="53" t="e">
        <f t="shared" si="7"/>
        <v>#N/A</v>
      </c>
      <c r="BI11" s="78" t="e">
        <f t="shared" si="23"/>
        <v>#N/A</v>
      </c>
      <c r="BJ11" s="119">
        <f t="shared" si="22"/>
        <v>1.5</v>
      </c>
      <c r="BK11" s="78" t="e">
        <f t="shared" si="8"/>
        <v>#N/A</v>
      </c>
      <c r="BL11" s="53" t="e">
        <f t="shared" si="9"/>
        <v>#N/A</v>
      </c>
      <c r="BM11" s="53" t="e">
        <f t="shared" si="10"/>
        <v>#N/A</v>
      </c>
      <c r="BN11" s="53" t="e">
        <f t="shared" si="11"/>
        <v>#N/A</v>
      </c>
      <c r="BO11" s="53" t="e">
        <f t="shared" si="11"/>
        <v>#N/A</v>
      </c>
      <c r="BP11" s="119">
        <f t="shared" si="12"/>
        <v>3</v>
      </c>
      <c r="BR11" s="53">
        <v>7</v>
      </c>
      <c r="BS11" s="53" t="e">
        <f t="shared" si="13"/>
        <v>#N/A</v>
      </c>
      <c r="BT11" s="53" t="e">
        <f t="shared" si="14"/>
        <v>#N/A</v>
      </c>
      <c r="BU11" s="53">
        <f t="shared" si="15"/>
        <v>1.5</v>
      </c>
      <c r="BV11" s="53" t="e">
        <f t="shared" si="16"/>
        <v>#N/A</v>
      </c>
      <c r="BW11" s="53" t="e">
        <f t="shared" si="17"/>
        <v>#N/A</v>
      </c>
      <c r="BX11" s="53" t="e">
        <f t="shared" si="18"/>
        <v>#N/A</v>
      </c>
      <c r="BY11" s="53" t="e">
        <f t="shared" si="19"/>
        <v>#N/A</v>
      </c>
      <c r="BZ11" s="53" t="e">
        <f t="shared" si="19"/>
        <v>#N/A</v>
      </c>
      <c r="CA11" s="53">
        <f t="shared" si="20"/>
        <v>3</v>
      </c>
    </row>
    <row r="12" spans="1:79" x14ac:dyDescent="0.25">
      <c r="A12" s="34" t="s">
        <v>42</v>
      </c>
      <c r="B12" s="45" t="s">
        <v>11</v>
      </c>
      <c r="C12" s="45" t="s">
        <v>12</v>
      </c>
      <c r="D12" s="45" t="s">
        <v>13</v>
      </c>
      <c r="E12" s="45" t="s">
        <v>14</v>
      </c>
      <c r="F12" s="45" t="s">
        <v>34</v>
      </c>
      <c r="G12" s="46" t="s">
        <v>15</v>
      </c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BB12" s="79"/>
    </row>
    <row r="13" spans="1:79" x14ac:dyDescent="0.25">
      <c r="A13" s="66">
        <f>G7</f>
        <v>0</v>
      </c>
      <c r="B13" s="47">
        <f>A130</f>
        <v>0.125</v>
      </c>
      <c r="C13" s="48">
        <f>IF(C130="",#N/A,C130)</f>
        <v>120</v>
      </c>
      <c r="D13" s="48">
        <f>D130</f>
        <v>80</v>
      </c>
      <c r="E13" s="49">
        <f>B130</f>
        <v>70</v>
      </c>
      <c r="F13" s="50">
        <f t="shared" ref="F13:F21" si="24">IF(C13="","",C13-D13)</f>
        <v>40</v>
      </c>
      <c r="G13" s="16">
        <f>IF(E130="","",E130)</f>
        <v>1.3</v>
      </c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78">
        <f>A13+80</f>
        <v>80</v>
      </c>
      <c r="AW13" s="53">
        <v>3</v>
      </c>
      <c r="AX13" s="120"/>
      <c r="AY13" s="120"/>
      <c r="AZ13" s="120">
        <f t="array" ref="AZ13:BB13">LINEST(AX5:AX7,BB5:BC7)</f>
        <v>-3.124999999999993E-4</v>
      </c>
      <c r="BA13" s="120">
        <v>0.36249999999999993</v>
      </c>
      <c r="BB13" s="120">
        <v>70</v>
      </c>
      <c r="BG13" s="53">
        <v>3</v>
      </c>
      <c r="BJ13" s="53">
        <f t="array" ref="BJ13:BL13">LINEST(BH5:BH7,BL5:BM7)</f>
        <v>1.8749999999999976E-4</v>
      </c>
      <c r="BK13" s="53">
        <v>-7.4999999999999867E-3</v>
      </c>
      <c r="BL13" s="53">
        <v>1.3</v>
      </c>
      <c r="BR13" s="53">
        <v>3</v>
      </c>
      <c r="BU13" s="53">
        <f t="array" ref="BU13:BW13">LINEST(BS5:BS7,BW5:BX7)</f>
        <v>1.7094017094017072E-3</v>
      </c>
      <c r="BV13" s="53">
        <v>-0.26324786324786287</v>
      </c>
      <c r="BW13" s="53">
        <v>11.351282051282036</v>
      </c>
    </row>
    <row r="14" spans="1:79" x14ac:dyDescent="0.25">
      <c r="A14" s="66">
        <f t="shared" ref="A14:A21" si="25">IF(B14="","",IF(OR(B14="Ruhe 3:00",B14="Ruhe 6:00"),"",A13+$G$8))</f>
        <v>40</v>
      </c>
      <c r="B14" s="47">
        <f>A131</f>
        <v>0.25</v>
      </c>
      <c r="C14" s="48">
        <f>IF(C131="",#N/A,C131)</f>
        <v>130</v>
      </c>
      <c r="D14" s="48">
        <f>D131</f>
        <v>80</v>
      </c>
      <c r="E14" s="49">
        <f>B131</f>
        <v>84</v>
      </c>
      <c r="F14" s="50">
        <f t="shared" si="24"/>
        <v>50</v>
      </c>
      <c r="G14" s="16">
        <f>IF(E131="","",E131)</f>
        <v>1.3</v>
      </c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78">
        <f t="shared" ref="AO14:AO21" si="26">A14+80</f>
        <v>120</v>
      </c>
      <c r="AW14" s="53">
        <v>4</v>
      </c>
      <c r="AX14" s="120"/>
      <c r="AY14" s="120">
        <f t="array" ref="AY14:BB14">LINEST(AX5:AX8,BB5:BD8)</f>
        <v>1.0416666666666646E-5</v>
      </c>
      <c r="AZ14" s="120">
        <v>-1.5624999999999934E-3</v>
      </c>
      <c r="BA14" s="120">
        <v>0.39583333333333282</v>
      </c>
      <c r="BB14" s="120">
        <v>70</v>
      </c>
      <c r="BE14" s="53">
        <v>130</v>
      </c>
      <c r="BG14" s="53">
        <v>4</v>
      </c>
      <c r="BI14" s="53">
        <f t="array" ref="BI14:BL14">LINEST(BH5:BH8,BL5:BN8)</f>
        <v>-1.3020833333333255E-6</v>
      </c>
      <c r="BJ14" s="53">
        <v>3.4374999999999852E-4</v>
      </c>
      <c r="BK14" s="53">
        <v>-1.1666666666666601E-2</v>
      </c>
      <c r="BL14" s="53">
        <v>1.2999999999999998</v>
      </c>
      <c r="BO14" s="119">
        <f>IF(G22=0,"",BJ5)</f>
        <v>1.5</v>
      </c>
      <c r="BR14" s="53">
        <v>4</v>
      </c>
      <c r="BT14" s="53">
        <f t="array" ref="BT14:BW14">LINEST(BS5:BS8,BW5:BY8)</f>
        <v>-4.1681231536885208E-5</v>
      </c>
      <c r="BU14" s="53">
        <v>1.2171390825159903E-2</v>
      </c>
      <c r="BV14" s="53">
        <v>-1.1309677413827408</v>
      </c>
      <c r="BW14" s="53">
        <v>35.124589270659975</v>
      </c>
      <c r="BZ14" s="53">
        <f>IF(G22=0,"",BU5)</f>
        <v>1.5</v>
      </c>
    </row>
    <row r="15" spans="1:79" x14ac:dyDescent="0.25">
      <c r="A15" s="66">
        <f t="shared" si="25"/>
        <v>80</v>
      </c>
      <c r="B15" s="47">
        <f>IF(B132&gt;0,A132,IF(B14="Ruhe 3:00","Ruhe 6:00",IF(B14="Ruhe 6:00","",IF(B14="","","Ruhe 3:00"))))</f>
        <v>0.375</v>
      </c>
      <c r="C15" s="48">
        <f t="shared" ref="C15:C21" si="27">IF(B15="Ruhe 3:00",$C$137,IF(B15="Ruhe 6:00",$C$138,IF(B15="",#N/A,C132)))</f>
        <v>140</v>
      </c>
      <c r="D15" s="48">
        <f t="shared" ref="D15:D21" si="28">IF(B15="Ruhe 3:00",$D$137,IF(B15="Ruhe 6:00",$D$138,IF(B15="","",D132)))</f>
        <v>80</v>
      </c>
      <c r="E15" s="49">
        <f t="shared" ref="E15" si="29">IF(B15="Ruhe 3:00",$B$137,IF(B15="Ruhe 6:00",$B$138,IF(B15="","",B132)))</f>
        <v>97</v>
      </c>
      <c r="F15" s="50">
        <f t="shared" si="24"/>
        <v>60</v>
      </c>
      <c r="G15" s="16">
        <f>IF(E132="","",E132)</f>
        <v>1.9</v>
      </c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78">
        <f t="shared" si="26"/>
        <v>160</v>
      </c>
      <c r="AV15" s="97"/>
      <c r="AW15" s="53">
        <v>5</v>
      </c>
      <c r="AX15" s="120">
        <f t="array" ref="AX15:BB15">LINEST(AX5:AX9,BB5:BE9)</f>
        <v>-1.6276041666666035E-8</v>
      </c>
      <c r="AY15" s="120">
        <v>1.4322916666666456E-5</v>
      </c>
      <c r="AZ15" s="120">
        <v>-1.8489583333333112E-3</v>
      </c>
      <c r="BA15" s="120">
        <v>0.40208333333333263</v>
      </c>
      <c r="BB15" s="120">
        <v>69.999999999999986</v>
      </c>
      <c r="BG15" s="53">
        <v>5</v>
      </c>
      <c r="BH15" s="53">
        <f t="array" ref="BH15:BL15">LINEST(BH5:BH9,BL5:BO9)</f>
        <v>2.1158854166666306E-8</v>
      </c>
      <c r="BI15" s="53">
        <v>-6.3802083333332083E-6</v>
      </c>
      <c r="BJ15" s="53">
        <v>7.1614583333331865E-4</v>
      </c>
      <c r="BK15" s="53">
        <v>-1.9791666666666072E-2</v>
      </c>
      <c r="BL15" s="53">
        <v>1.2999999999999985</v>
      </c>
      <c r="BO15" s="119">
        <f>BO14+1.5</f>
        <v>3</v>
      </c>
      <c r="BR15" s="53">
        <v>5</v>
      </c>
      <c r="BS15" s="53">
        <f t="array" ref="BS15:BW15">LINEST(BS5:BS9,BW5:BZ9)</f>
        <v>8.9628774168231447E-7</v>
      </c>
      <c r="BT15" s="53">
        <v>-3.6792996950923225E-4</v>
      </c>
      <c r="BU15" s="53">
        <v>5.625171824883355E-2</v>
      </c>
      <c r="BV15" s="53">
        <v>-3.7506321750449758</v>
      </c>
      <c r="BW15" s="53">
        <v>92.890943697738336</v>
      </c>
      <c r="BZ15" s="53">
        <f>BZ14+1.5</f>
        <v>3</v>
      </c>
    </row>
    <row r="16" spans="1:79" x14ac:dyDescent="0.25">
      <c r="A16" s="66">
        <f t="shared" si="25"/>
        <v>120</v>
      </c>
      <c r="B16" s="47">
        <f>IF(B133="",IF(B15="Ruhe 3:00","Ruhe 6:00",IF(B15="Ruhe 6:00","",IF(B15="","","Ruhe 3:00"))),A133)</f>
        <v>0.5</v>
      </c>
      <c r="C16" s="48">
        <f t="shared" si="27"/>
        <v>160</v>
      </c>
      <c r="D16" s="48">
        <f t="shared" si="28"/>
        <v>85</v>
      </c>
      <c r="E16" s="49">
        <f t="shared" ref="E16:E21" si="30">IF(B16="Ruhe 3:00",$B$137,IF(B16="Ruhe 6:00",$B$138,IF(B16="",#N/A,B133)))</f>
        <v>113</v>
      </c>
      <c r="F16" s="50">
        <f t="shared" si="24"/>
        <v>75</v>
      </c>
      <c r="G16" s="16">
        <f>IF(E133="","",E133)</f>
        <v>2.6</v>
      </c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78">
        <f t="shared" si="26"/>
        <v>200</v>
      </c>
      <c r="AV16" s="97"/>
      <c r="AW16" s="53">
        <v>6</v>
      </c>
      <c r="AX16" s="120" t="e">
        <f t="array" ref="AX16:BB16">LINEST(AX5:AX10,BB5:BE10)</f>
        <v>#VALUE!</v>
      </c>
      <c r="AY16" s="120" t="e">
        <v>#VALUE!</v>
      </c>
      <c r="AZ16" s="120" t="e">
        <v>#VALUE!</v>
      </c>
      <c r="BA16" s="120" t="e">
        <v>#VALUE!</v>
      </c>
      <c r="BB16" s="120" t="e">
        <v>#VALUE!</v>
      </c>
      <c r="BG16" s="53">
        <v>6</v>
      </c>
      <c r="BH16" s="53" t="e">
        <f t="array" ref="BH16:BL16">LINEST(BH5:BH10,BL5:BO10)</f>
        <v>#VALUE!</v>
      </c>
      <c r="BI16" s="53" t="e">
        <v>#VALUE!</v>
      </c>
      <c r="BJ16" s="53" t="e">
        <v>#VALUE!</v>
      </c>
      <c r="BK16" s="53" t="e">
        <v>#VALUE!</v>
      </c>
      <c r="BL16" s="53" t="e">
        <v>#VALUE!</v>
      </c>
      <c r="BR16" s="53">
        <v>6</v>
      </c>
      <c r="BS16" s="53" t="e">
        <f t="array" ref="BS16:BW16">LINEST(BS5:BS10,BW5:BZ10)</f>
        <v>#VALUE!</v>
      </c>
      <c r="BT16" s="53" t="e">
        <v>#VALUE!</v>
      </c>
      <c r="BU16" s="53" t="e">
        <v>#VALUE!</v>
      </c>
      <c r="BV16" s="53" t="e">
        <v>#VALUE!</v>
      </c>
      <c r="BW16" s="53" t="e">
        <v>#VALUE!</v>
      </c>
    </row>
    <row r="17" spans="1:78" x14ac:dyDescent="0.25">
      <c r="A17" s="66">
        <f t="shared" si="25"/>
        <v>160</v>
      </c>
      <c r="B17" s="47">
        <f>IF(B134="",IF(B16="Ruhe 3:00","Ruhe 6:00",IF(B16="Ruhe 6:00","",IF(B16="","","Ruhe 3:00"))),A134)</f>
        <v>0.625</v>
      </c>
      <c r="C17" s="48">
        <f t="shared" si="27"/>
        <v>180</v>
      </c>
      <c r="D17" s="48">
        <f t="shared" si="28"/>
        <v>90</v>
      </c>
      <c r="E17" s="49">
        <f t="shared" si="30"/>
        <v>135</v>
      </c>
      <c r="F17" s="50">
        <f t="shared" si="24"/>
        <v>90</v>
      </c>
      <c r="G17" s="16">
        <f>IF(E134="","",E134)</f>
        <v>4.2</v>
      </c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78">
        <f t="shared" si="26"/>
        <v>240</v>
      </c>
      <c r="AV17" s="97"/>
      <c r="AW17" s="53">
        <v>7</v>
      </c>
      <c r="AX17" s="120" t="e">
        <f t="array" ref="AX17:BB17">LINEST(AX5:AX11,BB5:BE11)</f>
        <v>#VALUE!</v>
      </c>
      <c r="AY17" s="120" t="e">
        <v>#VALUE!</v>
      </c>
      <c r="AZ17" s="120" t="e">
        <v>#VALUE!</v>
      </c>
      <c r="BA17" s="120" t="e">
        <v>#VALUE!</v>
      </c>
      <c r="BB17" s="120" t="e">
        <v>#VALUE!</v>
      </c>
      <c r="BE17" s="121">
        <f>IF(A13="","",VLOOKUP(BE14,AX21:BD148,2,2))</f>
        <v>150</v>
      </c>
      <c r="BG17" s="53">
        <v>7</v>
      </c>
      <c r="BH17" s="53" t="e">
        <f t="array" ref="BH17:BL17">LINEST(BH5:BH11,BL5:BO11)</f>
        <v>#VALUE!</v>
      </c>
      <c r="BI17" s="53" t="e">
        <v>#VALUE!</v>
      </c>
      <c r="BJ17" s="53" t="e">
        <v>#VALUE!</v>
      </c>
      <c r="BK17" s="53" t="e">
        <v>#VALUE!</v>
      </c>
      <c r="BL17" s="53" t="e">
        <v>#VALUE!</v>
      </c>
      <c r="BO17" s="53">
        <f>IF(BO14="","",VLOOKUP(BO14,BH21:BN148,2,2))</f>
        <v>54</v>
      </c>
      <c r="BR17" s="53">
        <v>7</v>
      </c>
      <c r="BS17" s="53" t="e">
        <f t="array" ref="BS17:BW17">LINEST(BS5:BS11,BW5:BZ11)</f>
        <v>#VALUE!</v>
      </c>
      <c r="BT17" s="53" t="e">
        <v>#VALUE!</v>
      </c>
      <c r="BU17" s="53" t="e">
        <v>#VALUE!</v>
      </c>
      <c r="BV17" s="53" t="e">
        <v>#VALUE!</v>
      </c>
      <c r="BW17" s="53" t="e">
        <v>#VALUE!</v>
      </c>
      <c r="BZ17" s="53">
        <f>IF(BZ14="","",VLOOKUP(BZ14,BS21:BY148,2,2))</f>
        <v>88</v>
      </c>
    </row>
    <row r="18" spans="1:78" x14ac:dyDescent="0.25">
      <c r="A18" s="66" t="str">
        <f t="shared" si="25"/>
        <v/>
      </c>
      <c r="B18" s="47" t="str">
        <f>IF(B135="",IF(B17="Ruhe 3:00","Ruhe 6:00",IF(B17="Ruhe 6:00","",IF(B17="","","Ruhe 3:00"))),A135)</f>
        <v>Ruhe 3:00</v>
      </c>
      <c r="C18" s="48">
        <f t="shared" si="27"/>
        <v>140</v>
      </c>
      <c r="D18" s="48">
        <f t="shared" si="28"/>
        <v>80</v>
      </c>
      <c r="E18" s="49">
        <f t="shared" si="30"/>
        <v>120</v>
      </c>
      <c r="F18" s="50">
        <f t="shared" si="24"/>
        <v>60</v>
      </c>
      <c r="G18" s="16" t="str">
        <f>IF(B18="Ruhe 3:00",$E$137,IF(B18="Ruhe 6:00",$E$138,IF(B18="","",E135)))</f>
        <v/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78" t="e">
        <f t="shared" si="26"/>
        <v>#VALUE!</v>
      </c>
      <c r="AV18" s="97"/>
      <c r="AX18" s="120"/>
      <c r="AY18" s="120"/>
      <c r="AZ18" s="120"/>
      <c r="BO18" s="53">
        <f>IF(BO14="","",VLOOKUP(BO15,BH21:BN148,2,2))</f>
        <v>134</v>
      </c>
      <c r="BZ18" s="53">
        <f>IF(BZ14="","",VLOOKUP(BZ15,BS21:BY148,2,2))</f>
        <v>121</v>
      </c>
    </row>
    <row r="19" spans="1:78" x14ac:dyDescent="0.25">
      <c r="A19" s="66" t="str">
        <f t="shared" si="25"/>
        <v/>
      </c>
      <c r="B19" s="47" t="str">
        <f>IF(B136="",IF(B18="Ruhe 3:00","Ruhe 6:00",IF(B18="Ruhe 6:00","",IF(B18="","","Ruhe 3:00"))),A136)</f>
        <v>Ruhe 6:00</v>
      </c>
      <c r="C19" s="48">
        <f t="shared" si="27"/>
        <v>120</v>
      </c>
      <c r="D19" s="48">
        <f t="shared" si="28"/>
        <v>70</v>
      </c>
      <c r="E19" s="49">
        <f t="shared" si="30"/>
        <v>90</v>
      </c>
      <c r="F19" s="50">
        <f t="shared" si="24"/>
        <v>50</v>
      </c>
      <c r="G19" s="16" t="str">
        <f>IF(B19="Ruhe 3:00",$E$137,IF(B19="Ruhe 6:00",$E$138,IF(B19="","")))</f>
        <v/>
      </c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78" t="e">
        <f t="shared" si="26"/>
        <v>#VALUE!</v>
      </c>
      <c r="AX19" s="53">
        <f>VLOOKUP($A$23,$AW$13:$BB$17,2)</f>
        <v>-1.6276041666666035E-8</v>
      </c>
      <c r="AY19" s="53">
        <f>VLOOKUP($A$23,$AW$13:$BB$17,3)</f>
        <v>1.4322916666666456E-5</v>
      </c>
      <c r="AZ19" s="53">
        <f>VLOOKUP($A$23,$AW$13:$BB$17,4)</f>
        <v>-1.8489583333333112E-3</v>
      </c>
      <c r="BA19" s="53">
        <f>VLOOKUP($A$23,$AW$13:$BB$17,5)</f>
        <v>0.40208333333333263</v>
      </c>
      <c r="BB19" s="53">
        <f>VLOOKUP($A$23,$AW$13:$BB$17,6)</f>
        <v>69.999999999999986</v>
      </c>
      <c r="BH19" s="122">
        <f>VLOOKUP($A$23,$BG$13:$BL$17,2)</f>
        <v>2.1158854166666306E-8</v>
      </c>
      <c r="BI19" s="122">
        <f>VLOOKUP($A$23,$BG$13:$BL$17,3)</f>
        <v>-6.3802083333332083E-6</v>
      </c>
      <c r="BJ19" s="122">
        <f>VLOOKUP($A$23,$BG$13:$BL$17,4)</f>
        <v>7.1614583333331865E-4</v>
      </c>
      <c r="BK19" s="122">
        <f>VLOOKUP($A$23,$BG$13:$BL$17,5)</f>
        <v>-1.9791666666666072E-2</v>
      </c>
      <c r="BL19" s="122">
        <f>VLOOKUP($A$23,$BG$13:$BL$17,6)</f>
        <v>1.2999999999999985</v>
      </c>
      <c r="BS19" s="53">
        <f>VLOOKUP($A$23,$BR$13:$BW$17,2)</f>
        <v>8.9628774168231447E-7</v>
      </c>
      <c r="BT19" s="53">
        <f>VLOOKUP($A$23,$BR$13:$BW$17,3)</f>
        <v>-3.6792996950923225E-4</v>
      </c>
      <c r="BU19" s="53">
        <f>VLOOKUP($A$23,$BR$13:$BW$17,4)</f>
        <v>5.625171824883355E-2</v>
      </c>
      <c r="BV19" s="53">
        <f>VLOOKUP($A$23,$BR$13:$BW$17,5)</f>
        <v>-3.7506321750449758</v>
      </c>
      <c r="BW19" s="53">
        <f>VLOOKUP($A$23,$BR$13:$BW$17,6)</f>
        <v>92.890943697738336</v>
      </c>
    </row>
    <row r="20" spans="1:78" x14ac:dyDescent="0.25">
      <c r="A20" s="66" t="str">
        <f t="shared" si="25"/>
        <v/>
      </c>
      <c r="B20" s="47" t="str">
        <f>IF(B19="","",IF(B19="Ruhe 3:00","Ruhe 6:00",IF(B19="Ruhe 6:00","")))</f>
        <v/>
      </c>
      <c r="C20" s="48" t="e">
        <f t="shared" si="27"/>
        <v>#N/A</v>
      </c>
      <c r="D20" s="48" t="str">
        <f t="shared" si="28"/>
        <v/>
      </c>
      <c r="E20" s="49" t="e">
        <f t="shared" si="30"/>
        <v>#N/A</v>
      </c>
      <c r="F20" s="45" t="e">
        <f t="shared" si="24"/>
        <v>#N/A</v>
      </c>
      <c r="G20" s="16" t="str">
        <f>IF(B20="Ruhe 3:00",$E$137,IF(B20="Ruhe 6:00",$E$138,IF(B20="","")))</f>
        <v/>
      </c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78" t="e">
        <f t="shared" si="26"/>
        <v>#VALUE!</v>
      </c>
    </row>
    <row r="21" spans="1:78" x14ac:dyDescent="0.25">
      <c r="A21" s="66" t="str">
        <f t="shared" si="25"/>
        <v/>
      </c>
      <c r="B21" s="47" t="str">
        <f>IF(B20="","",IF(B20="Ruhe 3:00","Ruhe 6:00",IF(B20="Ruhe 6:00","")))</f>
        <v/>
      </c>
      <c r="C21" s="48" t="e">
        <f t="shared" si="27"/>
        <v>#N/A</v>
      </c>
      <c r="D21" s="48" t="str">
        <f t="shared" si="28"/>
        <v/>
      </c>
      <c r="E21" s="49" t="e">
        <f t="shared" si="30"/>
        <v>#N/A</v>
      </c>
      <c r="F21" s="45" t="e">
        <f t="shared" si="24"/>
        <v>#N/A</v>
      </c>
      <c r="G21" s="52" t="s">
        <v>16</v>
      </c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78" t="e">
        <f t="shared" si="26"/>
        <v>#VALUE!</v>
      </c>
      <c r="AX21" s="123">
        <f>AZ21+BA21+BB21+BC21+BD21</f>
        <v>83.999999999999972</v>
      </c>
      <c r="AY21" s="78">
        <f>A14</f>
        <v>40</v>
      </c>
      <c r="AZ21" s="53">
        <f>AY21*AY21*AY21*AY21*$AX$19</f>
        <v>-4.1666666666665048E-2</v>
      </c>
      <c r="BA21" s="53">
        <f>AY21*AY21*AY21*$AY$19</f>
        <v>0.9166666666666532</v>
      </c>
      <c r="BB21" s="53">
        <f>AY21*AY21*$AZ$19</f>
        <v>-2.958333333333298</v>
      </c>
      <c r="BC21" s="53">
        <f>AY21*$BA$19</f>
        <v>16.083333333333304</v>
      </c>
      <c r="BD21" s="53">
        <f>$BB$19</f>
        <v>69.999999999999986</v>
      </c>
      <c r="BH21" s="123">
        <f>BJ21+BK21+BL21+BM21+BN21-0.01</f>
        <v>1.290000000000006</v>
      </c>
      <c r="BI21" s="78">
        <f>IF(G13+0.2&lt;G14,A13,A14)</f>
        <v>40</v>
      </c>
      <c r="BJ21" s="53">
        <f>BI21*BI21*BI21*BI21*$BH$19</f>
        <v>5.4166666666665746E-2</v>
      </c>
      <c r="BK21" s="53">
        <f>BI21*BI21*BI21*$BI$19</f>
        <v>-0.40833333333332533</v>
      </c>
      <c r="BL21" s="53">
        <f>BI21*BI21*$BJ$19</f>
        <v>1.1458333333333099</v>
      </c>
      <c r="BM21" s="53">
        <f>BI21*$BK$19</f>
        <v>-0.79166666666664287</v>
      </c>
      <c r="BN21" s="53">
        <f>$BL$19</f>
        <v>1.2999999999999985</v>
      </c>
      <c r="BS21" s="53">
        <f>BU21+BV21+BW21+BX21+BY21-0.1</f>
        <v>1.2000000000001392</v>
      </c>
      <c r="BT21" s="53">
        <f>IF(G13+0.2&lt;G14,E13,E14)</f>
        <v>84</v>
      </c>
      <c r="BU21" s="53">
        <f>BT21*BT21*BT21*BT21*$BS$19</f>
        <v>44.623599690270261</v>
      </c>
      <c r="BV21" s="53">
        <f>BT21*BT21*BT21*$BT$19</f>
        <v>-218.073564648</v>
      </c>
      <c r="BW21" s="53">
        <f>BT21*BT21*$BU$19</f>
        <v>396.91212396376955</v>
      </c>
      <c r="BX21" s="53">
        <f>BT21*$BV$19</f>
        <v>-315.05310270377799</v>
      </c>
      <c r="BY21" s="53">
        <f>$BW$19</f>
        <v>92.890943697738336</v>
      </c>
    </row>
    <row r="22" spans="1:78" x14ac:dyDescent="0.25">
      <c r="A22" s="53"/>
      <c r="B22" s="53"/>
      <c r="C22" s="53"/>
      <c r="D22" s="54" t="s">
        <v>17</v>
      </c>
      <c r="E22" s="53"/>
      <c r="F22" s="53"/>
      <c r="G22" s="33">
        <f>MIN(G13:G19)</f>
        <v>1.3</v>
      </c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X22" s="123">
        <f t="shared" ref="AX22:AX147" si="31">AZ22+BA22+BB22+BC22+BD22</f>
        <v>84.636447656249985</v>
      </c>
      <c r="AY22" s="78">
        <f>AY21+2</f>
        <v>42</v>
      </c>
      <c r="AZ22" s="53">
        <f t="shared" ref="AZ22:AZ147" si="32">AY22*AY22*AY22*AY22*$AX$19</f>
        <v>-5.0646093749998039E-2</v>
      </c>
      <c r="BA22" s="53">
        <f t="shared" ref="BA22:BA147" si="33">AY22*AY22*AY22*$AY$19</f>
        <v>1.0611562499999845</v>
      </c>
      <c r="BB22" s="53">
        <f t="shared" ref="BB22:BB147" si="34">AY22*AY22*$AZ$19</f>
        <v>-3.2615624999999611</v>
      </c>
      <c r="BC22" s="53">
        <f t="shared" ref="BC22:BC147" si="35">AY22*$BA$19</f>
        <v>16.887499999999971</v>
      </c>
      <c r="BD22" s="53">
        <f t="shared" ref="BD22:BD147" si="36">$BB$19</f>
        <v>69.999999999999986</v>
      </c>
      <c r="BH22" s="123">
        <f>BJ22+BK22+BL22+BM22+BN22</f>
        <v>1.3251742968750055</v>
      </c>
      <c r="BI22" s="78">
        <f>BI21+2</f>
        <v>42</v>
      </c>
      <c r="BJ22" s="53">
        <f>BI22*BI22*BI22*BI22*$BH$19</f>
        <v>6.5839921874998875E-2</v>
      </c>
      <c r="BK22" s="53">
        <f>BI22*BI22*BI22*$BI$19</f>
        <v>-0.47269687499999075</v>
      </c>
      <c r="BL22" s="53">
        <f>BI22*BI22*$BJ$19</f>
        <v>1.2632812499999742</v>
      </c>
      <c r="BM22" s="53">
        <f>BI22*$BK$19</f>
        <v>-0.83124999999997506</v>
      </c>
      <c r="BN22" s="53">
        <f>$BL$19</f>
        <v>1.2999999999999985</v>
      </c>
      <c r="BS22" s="53">
        <f>BU22+BV22+BW22+BX22+BY22</f>
        <v>1.3376609375359436</v>
      </c>
      <c r="BT22" s="53">
        <f>BT21+1</f>
        <v>85</v>
      </c>
      <c r="BU22" s="53">
        <f t="shared" ref="BU22:BU147" si="37">BT22*BT22*BT22*BT22*$BS$19</f>
        <v>46.786780295655369</v>
      </c>
      <c r="BV22" s="53">
        <f t="shared" ref="BV22:BV147" si="38">BT22*BT22*BT22*$BT$19</f>
        <v>-225.95499252485726</v>
      </c>
      <c r="BW22" s="53">
        <f t="shared" ref="BW22:BW147" si="39">BT22*BT22*$BU$19</f>
        <v>406.41866434782241</v>
      </c>
      <c r="BX22" s="53">
        <f t="shared" ref="BX22:BX147" si="40">BT22*$BV$19</f>
        <v>-318.80373487882292</v>
      </c>
      <c r="BY22" s="53">
        <f t="shared" ref="BY22:BY147" si="41">$BW$19</f>
        <v>92.890943697738336</v>
      </c>
    </row>
    <row r="23" spans="1:78" x14ac:dyDescent="0.25">
      <c r="A23" s="53">
        <f>COUNT(A13:A19)</f>
        <v>5</v>
      </c>
      <c r="B23" s="53"/>
      <c r="C23" s="55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X23" s="123">
        <f t="shared" si="31"/>
        <v>85.271162499999974</v>
      </c>
      <c r="AY23" s="78">
        <f t="shared" ref="AY23:AY148" si="42">AY22+2</f>
        <v>44</v>
      </c>
      <c r="AZ23" s="53">
        <f t="shared" si="32"/>
        <v>-6.1004166666664299E-2</v>
      </c>
      <c r="BA23" s="53">
        <f t="shared" si="33"/>
        <v>1.2200833333333154</v>
      </c>
      <c r="BB23" s="53">
        <f t="shared" si="34"/>
        <v>-3.5795833333332903</v>
      </c>
      <c r="BC23" s="53">
        <f t="shared" si="35"/>
        <v>17.691666666666634</v>
      </c>
      <c r="BD23" s="53">
        <f t="shared" si="36"/>
        <v>69.999999999999986</v>
      </c>
      <c r="BH23" s="123">
        <f t="shared" ref="BH23:BH148" si="43">BJ23+BK23+BL23+BM23+BN23</f>
        <v>1.3514387500000056</v>
      </c>
      <c r="BI23" s="78">
        <f t="shared" ref="BI23:BI148" si="44">BI22+2</f>
        <v>44</v>
      </c>
      <c r="BJ23" s="53">
        <f t="shared" ref="BJ23:BJ148" si="45">BI23*BI23*BI23*BI23*$BH$19</f>
        <v>7.930541666666531E-2</v>
      </c>
      <c r="BK23" s="53">
        <f t="shared" ref="BK23:BK148" si="46">BI23*BI23*BI23*$BI$19</f>
        <v>-0.54349166666665605</v>
      </c>
      <c r="BL23" s="53">
        <f t="shared" ref="BL23:BL148" si="47">BI23*BI23*$BJ$19</f>
        <v>1.3864583333333049</v>
      </c>
      <c r="BM23" s="53">
        <f t="shared" ref="BM23:BM148" si="48">BI23*$BK$19</f>
        <v>-0.87083333333330715</v>
      </c>
      <c r="BN23" s="53">
        <f t="shared" ref="BN23:BN148" si="49">$BL$19</f>
        <v>1.2999999999999985</v>
      </c>
      <c r="BS23" s="53">
        <f t="shared" ref="BS23:BS148" si="50">BU23+BV23+BW23+BX23+BY23</f>
        <v>1.3778909668989598</v>
      </c>
      <c r="BT23" s="53">
        <f t="shared" ref="BT23:BT148" si="51">BT22+1</f>
        <v>86</v>
      </c>
      <c r="BU23" s="53">
        <f t="shared" si="37"/>
        <v>49.027670840819816</v>
      </c>
      <c r="BV23" s="53">
        <f t="shared" si="38"/>
        <v>-234.02406468616422</v>
      </c>
      <c r="BW23" s="53">
        <f t="shared" si="39"/>
        <v>416.03770816837294</v>
      </c>
      <c r="BX23" s="53">
        <f t="shared" si="40"/>
        <v>-322.55436705386791</v>
      </c>
      <c r="BY23" s="53">
        <f t="shared" si="41"/>
        <v>92.890943697738336</v>
      </c>
    </row>
    <row r="24" spans="1:78" x14ac:dyDescent="0.25">
      <c r="AX24" s="123">
        <f t="shared" si="31"/>
        <v>85.904697656249979</v>
      </c>
      <c r="AY24" s="78">
        <f t="shared" si="42"/>
        <v>46</v>
      </c>
      <c r="AZ24" s="53">
        <f t="shared" si="32"/>
        <v>-7.287526041666384E-2</v>
      </c>
      <c r="BA24" s="53">
        <f t="shared" si="33"/>
        <v>1.3941354166666462</v>
      </c>
      <c r="BB24" s="53">
        <f t="shared" si="34"/>
        <v>-3.9123958333332864</v>
      </c>
      <c r="BC24" s="53">
        <f t="shared" si="35"/>
        <v>18.495833333333302</v>
      </c>
      <c r="BD24" s="53">
        <f t="shared" si="36"/>
        <v>69.999999999999986</v>
      </c>
      <c r="BH24" s="123">
        <f t="shared" si="43"/>
        <v>1.3786617968750052</v>
      </c>
      <c r="BI24" s="78">
        <f t="shared" si="44"/>
        <v>46</v>
      </c>
      <c r="BJ24" s="53">
        <f t="shared" si="45"/>
        <v>9.4737838541665051E-2</v>
      </c>
      <c r="BK24" s="53">
        <f t="shared" si="46"/>
        <v>-0.62102395833332114</v>
      </c>
      <c r="BL24" s="53">
        <f t="shared" si="47"/>
        <v>1.5153645833333023</v>
      </c>
      <c r="BM24" s="53">
        <f t="shared" si="48"/>
        <v>-0.91041666666663934</v>
      </c>
      <c r="BN24" s="53">
        <f t="shared" si="49"/>
        <v>1.2999999999999985</v>
      </c>
      <c r="BS24" s="53">
        <f t="shared" si="50"/>
        <v>1.4203216907181542</v>
      </c>
      <c r="BT24" s="53">
        <f t="shared" si="51"/>
        <v>87</v>
      </c>
      <c r="BU24" s="53">
        <f t="shared" si="37"/>
        <v>51.348110508209537</v>
      </c>
      <c r="BV24" s="53">
        <f t="shared" si="38"/>
        <v>-242.28298871173797</v>
      </c>
      <c r="BW24" s="53">
        <f t="shared" si="39"/>
        <v>425.76925542542114</v>
      </c>
      <c r="BX24" s="53">
        <f t="shared" si="40"/>
        <v>-326.30499922891289</v>
      </c>
      <c r="BY24" s="53">
        <f t="shared" si="41"/>
        <v>92.890943697738336</v>
      </c>
    </row>
    <row r="25" spans="1:78" x14ac:dyDescent="0.25">
      <c r="C25" s="51"/>
      <c r="AT25" s="100"/>
      <c r="AX25" s="123">
        <f t="shared" si="31"/>
        <v>86.537599999999983</v>
      </c>
      <c r="AY25" s="78">
        <f t="shared" si="42"/>
        <v>48</v>
      </c>
      <c r="AZ25" s="53">
        <f t="shared" si="32"/>
        <v>-8.6399999999996646E-2</v>
      </c>
      <c r="BA25" s="53">
        <f t="shared" si="33"/>
        <v>1.5839999999999768</v>
      </c>
      <c r="BB25" s="53">
        <f t="shared" si="34"/>
        <v>-4.2599999999999492</v>
      </c>
      <c r="BC25" s="53">
        <f t="shared" si="35"/>
        <v>19.299999999999965</v>
      </c>
      <c r="BD25" s="53">
        <f t="shared" si="36"/>
        <v>69.999999999999986</v>
      </c>
      <c r="BH25" s="123">
        <f t="shared" si="43"/>
        <v>1.4067200000000051</v>
      </c>
      <c r="BI25" s="78">
        <f t="shared" si="44"/>
        <v>48</v>
      </c>
      <c r="BJ25" s="53">
        <f t="shared" si="45"/>
        <v>0.11231999999999809</v>
      </c>
      <c r="BK25" s="53">
        <f t="shared" si="46"/>
        <v>-0.70559999999998613</v>
      </c>
      <c r="BL25" s="53">
        <f t="shared" si="47"/>
        <v>1.6499999999999662</v>
      </c>
      <c r="BM25" s="53">
        <f t="shared" si="48"/>
        <v>-0.94999999999997153</v>
      </c>
      <c r="BN25" s="53">
        <f t="shared" si="49"/>
        <v>1.2999999999999985</v>
      </c>
      <c r="BS25" s="53">
        <f t="shared" si="50"/>
        <v>1.4646062225281895</v>
      </c>
      <c r="BT25" s="53">
        <f t="shared" si="51"/>
        <v>88</v>
      </c>
      <c r="BU25" s="53">
        <f t="shared" si="37"/>
        <v>53.749959991176262</v>
      </c>
      <c r="BV25" s="53">
        <f t="shared" si="38"/>
        <v>-250.73397218139553</v>
      </c>
      <c r="BW25" s="53">
        <f t="shared" si="39"/>
        <v>435.61330611896699</v>
      </c>
      <c r="BX25" s="53">
        <f t="shared" si="40"/>
        <v>-330.05563140395788</v>
      </c>
      <c r="BY25" s="53">
        <f t="shared" si="41"/>
        <v>92.890943697738336</v>
      </c>
    </row>
    <row r="26" spans="1:78" x14ac:dyDescent="0.25">
      <c r="AT26" s="100"/>
      <c r="AX26" s="123">
        <f t="shared" si="31"/>
        <v>87.170410156249986</v>
      </c>
      <c r="AY26" s="78">
        <f t="shared" si="42"/>
        <v>50</v>
      </c>
      <c r="AZ26" s="53">
        <f t="shared" si="32"/>
        <v>-0.10172526041666272</v>
      </c>
      <c r="BA26" s="53">
        <f t="shared" si="33"/>
        <v>1.7903645833333071</v>
      </c>
      <c r="BB26" s="53">
        <f t="shared" si="34"/>
        <v>-4.622395833333278</v>
      </c>
      <c r="BC26" s="53">
        <f t="shared" si="35"/>
        <v>20.104166666666632</v>
      </c>
      <c r="BD26" s="53">
        <f t="shared" si="36"/>
        <v>69.999999999999986</v>
      </c>
      <c r="BH26" s="123">
        <f t="shared" si="43"/>
        <v>1.4354980468750047</v>
      </c>
      <c r="BI26" s="78">
        <f t="shared" si="44"/>
        <v>50</v>
      </c>
      <c r="BJ26" s="53">
        <f t="shared" si="45"/>
        <v>0.13224283854166441</v>
      </c>
      <c r="BK26" s="53">
        <f t="shared" si="46"/>
        <v>-0.79752604166665109</v>
      </c>
      <c r="BL26" s="53">
        <f t="shared" si="47"/>
        <v>1.7903645833332966</v>
      </c>
      <c r="BM26" s="53">
        <f t="shared" si="48"/>
        <v>-0.98958333333330362</v>
      </c>
      <c r="BN26" s="53">
        <f t="shared" si="49"/>
        <v>1.2999999999999985</v>
      </c>
      <c r="BS26" s="53">
        <f t="shared" si="50"/>
        <v>1.510419186769596</v>
      </c>
      <c r="BT26" s="53">
        <f t="shared" si="51"/>
        <v>89</v>
      </c>
      <c r="BU26" s="53">
        <f t="shared" si="37"/>
        <v>56.235101493977517</v>
      </c>
      <c r="BV26" s="53">
        <f t="shared" si="38"/>
        <v>-259.37922267495395</v>
      </c>
      <c r="BW26" s="53">
        <f t="shared" si="39"/>
        <v>445.56986024901056</v>
      </c>
      <c r="BX26" s="53">
        <f t="shared" si="40"/>
        <v>-333.80626357900286</v>
      </c>
      <c r="BY26" s="53">
        <f t="shared" si="41"/>
        <v>92.890943697738336</v>
      </c>
    </row>
    <row r="27" spans="1:78" x14ac:dyDescent="0.25">
      <c r="AX27" s="123">
        <f t="shared" si="31"/>
        <v>87.803662499999987</v>
      </c>
      <c r="AY27" s="78">
        <f t="shared" si="42"/>
        <v>52</v>
      </c>
      <c r="AZ27" s="53">
        <f t="shared" si="32"/>
        <v>-0.11900416666666205</v>
      </c>
      <c r="BA27" s="53">
        <f t="shared" si="33"/>
        <v>2.013916666666637</v>
      </c>
      <c r="BB27" s="53">
        <f t="shared" si="34"/>
        <v>-4.9995833333332733</v>
      </c>
      <c r="BC27" s="53">
        <f t="shared" si="35"/>
        <v>20.908333333333296</v>
      </c>
      <c r="BD27" s="53">
        <f t="shared" si="36"/>
        <v>69.999999999999986</v>
      </c>
      <c r="BH27" s="123">
        <f t="shared" si="43"/>
        <v>1.4648887500000047</v>
      </c>
      <c r="BI27" s="78">
        <f t="shared" si="44"/>
        <v>52</v>
      </c>
      <c r="BJ27" s="53">
        <f t="shared" si="45"/>
        <v>0.15470541666666404</v>
      </c>
      <c r="BK27" s="53">
        <f t="shared" si="46"/>
        <v>-0.89710833333331574</v>
      </c>
      <c r="BL27" s="53">
        <f t="shared" si="47"/>
        <v>1.9364583333332936</v>
      </c>
      <c r="BM27" s="53">
        <f t="shared" si="48"/>
        <v>-1.0291666666666357</v>
      </c>
      <c r="BN27" s="53">
        <f t="shared" si="49"/>
        <v>1.2999999999999985</v>
      </c>
      <c r="BS27" s="53">
        <f t="shared" si="50"/>
        <v>1.5574567187885719</v>
      </c>
      <c r="BT27" s="53">
        <f t="shared" si="51"/>
        <v>90</v>
      </c>
      <c r="BU27" s="53">
        <f t="shared" si="37"/>
        <v>58.805438731776654</v>
      </c>
      <c r="BV27" s="53">
        <f t="shared" si="38"/>
        <v>-268.22094777223032</v>
      </c>
      <c r="BW27" s="53">
        <f t="shared" si="39"/>
        <v>455.63891781555174</v>
      </c>
      <c r="BX27" s="53">
        <f t="shared" si="40"/>
        <v>-337.55689575404784</v>
      </c>
      <c r="BY27" s="53">
        <f t="shared" si="41"/>
        <v>92.890943697738336</v>
      </c>
    </row>
    <row r="28" spans="1:78" x14ac:dyDescent="0.25">
      <c r="AX28" s="123">
        <f t="shared" si="31"/>
        <v>88.43788515624999</v>
      </c>
      <c r="AY28" s="78">
        <f t="shared" si="42"/>
        <v>54</v>
      </c>
      <c r="AZ28" s="53">
        <f t="shared" si="32"/>
        <v>-0.13839609374999462</v>
      </c>
      <c r="BA28" s="53">
        <f t="shared" si="33"/>
        <v>2.2553437499999669</v>
      </c>
      <c r="BB28" s="53">
        <f t="shared" si="34"/>
        <v>-5.3915624999999352</v>
      </c>
      <c r="BC28" s="53">
        <f t="shared" si="35"/>
        <v>21.712499999999963</v>
      </c>
      <c r="BD28" s="53">
        <f t="shared" si="36"/>
        <v>69.999999999999986</v>
      </c>
      <c r="BH28" s="123">
        <f t="shared" si="43"/>
        <v>1.4947930468750041</v>
      </c>
      <c r="BI28" s="78">
        <f t="shared" si="44"/>
        <v>54</v>
      </c>
      <c r="BJ28" s="53">
        <f t="shared" si="45"/>
        <v>0.17991492187499694</v>
      </c>
      <c r="BK28" s="53">
        <f t="shared" si="46"/>
        <v>-1.0046531249999804</v>
      </c>
      <c r="BL28" s="53">
        <f t="shared" si="47"/>
        <v>2.088281249999957</v>
      </c>
      <c r="BM28" s="53">
        <f t="shared" si="48"/>
        <v>-1.0687499999999679</v>
      </c>
      <c r="BN28" s="53">
        <f t="shared" si="49"/>
        <v>1.2999999999999985</v>
      </c>
      <c r="BS28" s="53">
        <f t="shared" si="50"/>
        <v>1.6054364648373252</v>
      </c>
      <c r="BT28" s="53">
        <f t="shared" si="51"/>
        <v>91</v>
      </c>
      <c r="BU28" s="53">
        <f t="shared" si="37"/>
        <v>61.462896930642792</v>
      </c>
      <c r="BV28" s="53">
        <f t="shared" si="38"/>
        <v>-277.26135505304165</v>
      </c>
      <c r="BW28" s="53">
        <f t="shared" si="39"/>
        <v>465.82047881859063</v>
      </c>
      <c r="BX28" s="53">
        <f t="shared" si="40"/>
        <v>-341.30752792909277</v>
      </c>
      <c r="BY28" s="53">
        <f t="shared" si="41"/>
        <v>92.890943697738336</v>
      </c>
    </row>
    <row r="29" spans="1:78" x14ac:dyDescent="0.25">
      <c r="AX29" s="123">
        <f t="shared" si="31"/>
        <v>89.073599999999985</v>
      </c>
      <c r="AY29" s="78">
        <f t="shared" si="42"/>
        <v>56</v>
      </c>
      <c r="AZ29" s="53">
        <f t="shared" si="32"/>
        <v>-0.16006666666666045</v>
      </c>
      <c r="BA29" s="53">
        <f t="shared" si="33"/>
        <v>2.5153333333332966</v>
      </c>
      <c r="BB29" s="53">
        <f t="shared" si="34"/>
        <v>-5.7983333333332636</v>
      </c>
      <c r="BC29" s="53">
        <f t="shared" si="35"/>
        <v>22.516666666666627</v>
      </c>
      <c r="BD29" s="53">
        <f t="shared" si="36"/>
        <v>69.999999999999986</v>
      </c>
      <c r="BH29" s="123">
        <f t="shared" si="43"/>
        <v>1.5251200000000043</v>
      </c>
      <c r="BI29" s="78">
        <f t="shared" si="44"/>
        <v>56</v>
      </c>
      <c r="BJ29" s="53">
        <f t="shared" si="45"/>
        <v>0.20808666666666312</v>
      </c>
      <c r="BK29" s="53">
        <f t="shared" si="46"/>
        <v>-1.1204666666666447</v>
      </c>
      <c r="BL29" s="53">
        <f t="shared" si="47"/>
        <v>2.2458333333332874</v>
      </c>
      <c r="BM29" s="53">
        <f t="shared" si="48"/>
        <v>-1.1083333333333001</v>
      </c>
      <c r="BN29" s="53">
        <f t="shared" si="49"/>
        <v>1.2999999999999985</v>
      </c>
      <c r="BS29" s="53">
        <f t="shared" si="50"/>
        <v>1.6540975820735895</v>
      </c>
      <c r="BT29" s="53">
        <f t="shared" si="51"/>
        <v>92</v>
      </c>
      <c r="BU29" s="53">
        <f t="shared" si="37"/>
        <v>64.209422827550867</v>
      </c>
      <c r="BV29" s="53">
        <f t="shared" si="38"/>
        <v>-286.50265209720504</v>
      </c>
      <c r="BW29" s="53">
        <f t="shared" si="39"/>
        <v>476.11454325812718</v>
      </c>
      <c r="BX29" s="53">
        <f t="shared" si="40"/>
        <v>-345.05816010413776</v>
      </c>
      <c r="BY29" s="53">
        <f t="shared" si="41"/>
        <v>92.890943697738336</v>
      </c>
    </row>
    <row r="30" spans="1:78" x14ac:dyDescent="0.25">
      <c r="AX30" s="123">
        <f t="shared" si="31"/>
        <v>89.71132265624999</v>
      </c>
      <c r="AY30" s="78">
        <f t="shared" si="42"/>
        <v>58</v>
      </c>
      <c r="AZ30" s="53">
        <f t="shared" si="32"/>
        <v>-0.18418776041665952</v>
      </c>
      <c r="BA30" s="53">
        <f t="shared" si="33"/>
        <v>2.7945729166666258</v>
      </c>
      <c r="BB30" s="53">
        <f t="shared" si="34"/>
        <v>-6.2198958333332586</v>
      </c>
      <c r="BC30" s="53">
        <f t="shared" si="35"/>
        <v>23.320833333333294</v>
      </c>
      <c r="BD30" s="53">
        <f t="shared" si="36"/>
        <v>69.999999999999986</v>
      </c>
      <c r="BH30" s="123">
        <f t="shared" si="43"/>
        <v>1.5557867968750041</v>
      </c>
      <c r="BI30" s="78">
        <f t="shared" si="44"/>
        <v>58</v>
      </c>
      <c r="BJ30" s="53">
        <f t="shared" si="45"/>
        <v>0.2394440885416626</v>
      </c>
      <c r="BK30" s="53">
        <f t="shared" si="46"/>
        <v>-1.2448552083333089</v>
      </c>
      <c r="BL30" s="53">
        <f t="shared" si="47"/>
        <v>2.4091145833332841</v>
      </c>
      <c r="BM30" s="53">
        <f t="shared" si="48"/>
        <v>-1.1479166666666323</v>
      </c>
      <c r="BN30" s="53">
        <f t="shared" si="49"/>
        <v>1.2999999999999985</v>
      </c>
      <c r="BS30" s="53">
        <f t="shared" si="50"/>
        <v>1.7032007385611081</v>
      </c>
      <c r="BT30" s="53">
        <f t="shared" si="51"/>
        <v>93</v>
      </c>
      <c r="BU30" s="53">
        <f t="shared" si="37"/>
        <v>67.046984670381619</v>
      </c>
      <c r="BV30" s="53">
        <f t="shared" si="38"/>
        <v>-295.94704648453751</v>
      </c>
      <c r="BW30" s="53">
        <f t="shared" si="39"/>
        <v>486.5211111341614</v>
      </c>
      <c r="BX30" s="53">
        <f t="shared" si="40"/>
        <v>-348.80879227918274</v>
      </c>
      <c r="BY30" s="53">
        <f t="shared" si="41"/>
        <v>92.890943697738336</v>
      </c>
    </row>
    <row r="31" spans="1:78" x14ac:dyDescent="0.25">
      <c r="AX31" s="123">
        <f t="shared" si="31"/>
        <v>90.351562499999986</v>
      </c>
      <c r="AY31" s="78">
        <f t="shared" si="42"/>
        <v>60</v>
      </c>
      <c r="AZ31" s="53">
        <f t="shared" si="32"/>
        <v>-0.21093749999999181</v>
      </c>
      <c r="BA31" s="53">
        <f t="shared" si="33"/>
        <v>3.0937499999999547</v>
      </c>
      <c r="BB31" s="53">
        <f t="shared" si="34"/>
        <v>-6.6562499999999201</v>
      </c>
      <c r="BC31" s="53">
        <f t="shared" si="35"/>
        <v>24.124999999999957</v>
      </c>
      <c r="BD31" s="53">
        <f t="shared" si="36"/>
        <v>69.999999999999986</v>
      </c>
      <c r="BH31" s="123">
        <f t="shared" si="43"/>
        <v>1.5867187500000037</v>
      </c>
      <c r="BI31" s="78">
        <f t="shared" si="44"/>
        <v>60</v>
      </c>
      <c r="BJ31" s="53">
        <f t="shared" si="45"/>
        <v>0.27421874999999535</v>
      </c>
      <c r="BK31" s="53">
        <f t="shared" si="46"/>
        <v>-1.378124999999973</v>
      </c>
      <c r="BL31" s="53">
        <f t="shared" si="47"/>
        <v>2.5781249999999472</v>
      </c>
      <c r="BM31" s="53">
        <f t="shared" si="48"/>
        <v>-1.1874999999999643</v>
      </c>
      <c r="BN31" s="53">
        <f t="shared" si="49"/>
        <v>1.2999999999999985</v>
      </c>
      <c r="BS31" s="53">
        <f t="shared" si="50"/>
        <v>1.7525281132692925</v>
      </c>
      <c r="BT31" s="53">
        <f t="shared" si="51"/>
        <v>94</v>
      </c>
      <c r="BU31" s="53">
        <f t="shared" si="37"/>
        <v>69.977572217921562</v>
      </c>
      <c r="BV31" s="53">
        <f t="shared" si="38"/>
        <v>-305.59674579485613</v>
      </c>
      <c r="BW31" s="53">
        <f t="shared" si="39"/>
        <v>497.04018244669322</v>
      </c>
      <c r="BX31" s="53">
        <f t="shared" si="40"/>
        <v>-352.55942445422772</v>
      </c>
      <c r="BY31" s="53">
        <f t="shared" si="41"/>
        <v>92.890943697738336</v>
      </c>
    </row>
    <row r="32" spans="1:78" x14ac:dyDescent="0.25">
      <c r="AT32" s="94"/>
      <c r="AX32" s="123">
        <f t="shared" si="31"/>
        <v>90.994822656249994</v>
      </c>
      <c r="AY32" s="78">
        <f t="shared" si="42"/>
        <v>62</v>
      </c>
      <c r="AZ32" s="53">
        <f t="shared" si="32"/>
        <v>-0.24050026041665734</v>
      </c>
      <c r="BA32" s="53">
        <f t="shared" si="33"/>
        <v>3.4135520833332831</v>
      </c>
      <c r="BB32" s="53">
        <f t="shared" si="34"/>
        <v>-7.1073958333332481</v>
      </c>
      <c r="BC32" s="53">
        <f t="shared" si="35"/>
        <v>24.929166666666625</v>
      </c>
      <c r="BD32" s="53">
        <f t="shared" si="36"/>
        <v>69.999999999999986</v>
      </c>
      <c r="BH32" s="123">
        <f t="shared" si="43"/>
        <v>1.6178492968750033</v>
      </c>
      <c r="BI32" s="78">
        <f t="shared" si="44"/>
        <v>62</v>
      </c>
      <c r="BJ32" s="53">
        <f t="shared" si="45"/>
        <v>0.31265033854166135</v>
      </c>
      <c r="BK32" s="53">
        <f t="shared" si="46"/>
        <v>-1.5205822916666369</v>
      </c>
      <c r="BL32" s="53">
        <f t="shared" si="47"/>
        <v>2.752864583333277</v>
      </c>
      <c r="BM32" s="53">
        <f t="shared" si="48"/>
        <v>-1.2270833333332964</v>
      </c>
      <c r="BN32" s="53">
        <f t="shared" si="49"/>
        <v>1.2999999999999985</v>
      </c>
      <c r="BS32" s="53">
        <f t="shared" si="50"/>
        <v>1.8018833960734781</v>
      </c>
      <c r="BT32" s="53">
        <f t="shared" si="51"/>
        <v>95</v>
      </c>
      <c r="BU32" s="53">
        <f t="shared" si="37"/>
        <v>73.003196739863071</v>
      </c>
      <c r="BV32" s="53">
        <f t="shared" si="38"/>
        <v>-315.453957607978</v>
      </c>
      <c r="BW32" s="53">
        <f t="shared" si="39"/>
        <v>507.67175719572276</v>
      </c>
      <c r="BX32" s="53">
        <f t="shared" si="40"/>
        <v>-356.31005662927271</v>
      </c>
      <c r="BY32" s="53">
        <f t="shared" si="41"/>
        <v>92.890943697738336</v>
      </c>
    </row>
    <row r="33" spans="1:77" x14ac:dyDescent="0.25">
      <c r="AT33" s="94"/>
      <c r="AX33" s="123">
        <f t="shared" si="31"/>
        <v>91.641599999999983</v>
      </c>
      <c r="AY33" s="78">
        <f t="shared" si="42"/>
        <v>64</v>
      </c>
      <c r="AZ33" s="53">
        <f t="shared" si="32"/>
        <v>-0.27306666666665608</v>
      </c>
      <c r="BA33" s="53">
        <f t="shared" si="33"/>
        <v>3.7546666666666115</v>
      </c>
      <c r="BB33" s="53">
        <f t="shared" si="34"/>
        <v>-7.5733333333332427</v>
      </c>
      <c r="BC33" s="53">
        <f t="shared" si="35"/>
        <v>25.733333333333288</v>
      </c>
      <c r="BD33" s="53">
        <f t="shared" si="36"/>
        <v>69.999999999999986</v>
      </c>
      <c r="BH33" s="123">
        <f t="shared" si="43"/>
        <v>1.649120000000003</v>
      </c>
      <c r="BI33" s="78">
        <f t="shared" si="44"/>
        <v>64</v>
      </c>
      <c r="BJ33" s="53">
        <f t="shared" si="45"/>
        <v>0.35498666666666062</v>
      </c>
      <c r="BK33" s="53">
        <f t="shared" si="46"/>
        <v>-1.6725333333333006</v>
      </c>
      <c r="BL33" s="53">
        <f t="shared" si="47"/>
        <v>2.9333333333332732</v>
      </c>
      <c r="BM33" s="53">
        <f t="shared" si="48"/>
        <v>-1.2666666666666286</v>
      </c>
      <c r="BN33" s="53">
        <f t="shared" si="49"/>
        <v>1.2999999999999985</v>
      </c>
      <c r="BS33" s="53">
        <f t="shared" si="50"/>
        <v>1.8510917877547257</v>
      </c>
      <c r="BT33" s="53">
        <f t="shared" si="51"/>
        <v>96</v>
      </c>
      <c r="BU33" s="53">
        <f t="shared" si="37"/>
        <v>76.125891016804246</v>
      </c>
      <c r="BV33" s="53">
        <f t="shared" si="38"/>
        <v>-325.52088950372013</v>
      </c>
      <c r="BW33" s="53">
        <f t="shared" si="39"/>
        <v>518.41583538124996</v>
      </c>
      <c r="BX33" s="53">
        <f t="shared" si="40"/>
        <v>-360.06068880431769</v>
      </c>
      <c r="BY33" s="53">
        <f t="shared" si="41"/>
        <v>92.890943697738336</v>
      </c>
    </row>
    <row r="34" spans="1:77" x14ac:dyDescent="0.25">
      <c r="AT34" s="94"/>
      <c r="AV34" s="79"/>
      <c r="AX34" s="123">
        <f t="shared" si="31"/>
        <v>92.292385156249992</v>
      </c>
      <c r="AY34" s="78">
        <f t="shared" si="42"/>
        <v>66</v>
      </c>
      <c r="AZ34" s="53">
        <f t="shared" si="32"/>
        <v>-0.30883359374998803</v>
      </c>
      <c r="BA34" s="53">
        <f t="shared" si="33"/>
        <v>4.1177812499999398</v>
      </c>
      <c r="BB34" s="53">
        <f t="shared" si="34"/>
        <v>-8.0540624999999029</v>
      </c>
      <c r="BC34" s="53">
        <f t="shared" si="35"/>
        <v>26.537499999999952</v>
      </c>
      <c r="BD34" s="53">
        <f t="shared" si="36"/>
        <v>69.999999999999986</v>
      </c>
      <c r="BH34" s="123">
        <f t="shared" si="43"/>
        <v>1.680480546875003</v>
      </c>
      <c r="BI34" s="78">
        <f t="shared" si="44"/>
        <v>66</v>
      </c>
      <c r="BJ34" s="53">
        <f t="shared" si="45"/>
        <v>0.40148367187499318</v>
      </c>
      <c r="BK34" s="53">
        <f t="shared" si="46"/>
        <v>-1.834284374999964</v>
      </c>
      <c r="BL34" s="53">
        <f t="shared" si="47"/>
        <v>3.1195312499999361</v>
      </c>
      <c r="BM34" s="53">
        <f t="shared" si="48"/>
        <v>-1.3062499999999608</v>
      </c>
      <c r="BN34" s="53">
        <f t="shared" si="49"/>
        <v>1.2999999999999985</v>
      </c>
      <c r="BS34" s="53">
        <f t="shared" si="50"/>
        <v>1.9000000000000199</v>
      </c>
      <c r="BT34" s="53">
        <f t="shared" si="51"/>
        <v>97</v>
      </c>
      <c r="BU34" s="53">
        <f t="shared" si="37"/>
        <v>79.347709340249025</v>
      </c>
      <c r="BV34" s="53">
        <f t="shared" si="38"/>
        <v>-335.79974906189955</v>
      </c>
      <c r="BW34" s="53">
        <f t="shared" si="39"/>
        <v>529.27241700327488</v>
      </c>
      <c r="BX34" s="53">
        <f t="shared" si="40"/>
        <v>-363.81132097936268</v>
      </c>
      <c r="BY34" s="53">
        <f t="shared" si="41"/>
        <v>92.890943697738336</v>
      </c>
    </row>
    <row r="35" spans="1:77" x14ac:dyDescent="0.25">
      <c r="AT35" s="94"/>
      <c r="AX35" s="123">
        <f t="shared" si="31"/>
        <v>92.947662499999979</v>
      </c>
      <c r="AY35" s="78">
        <f t="shared" si="42"/>
        <v>68</v>
      </c>
      <c r="AZ35" s="53">
        <f t="shared" si="32"/>
        <v>-0.34800416666665318</v>
      </c>
      <c r="BA35" s="53">
        <f t="shared" si="33"/>
        <v>4.5035833333332675</v>
      </c>
      <c r="BB35" s="53">
        <f t="shared" si="34"/>
        <v>-8.5495833333332314</v>
      </c>
      <c r="BC35" s="53">
        <f t="shared" si="35"/>
        <v>27.341666666666619</v>
      </c>
      <c r="BD35" s="53">
        <f t="shared" si="36"/>
        <v>69.999999999999986</v>
      </c>
      <c r="BH35" s="123">
        <f t="shared" si="43"/>
        <v>1.7118887500000026</v>
      </c>
      <c r="BI35" s="78">
        <f t="shared" si="44"/>
        <v>68</v>
      </c>
      <c r="BJ35" s="53">
        <f t="shared" si="45"/>
        <v>0.45240541666665895</v>
      </c>
      <c r="BK35" s="53">
        <f t="shared" si="46"/>
        <v>-2.0061416666666272</v>
      </c>
      <c r="BL35" s="53">
        <f t="shared" si="47"/>
        <v>3.3114583333332654</v>
      </c>
      <c r="BM35" s="53">
        <f t="shared" si="48"/>
        <v>-1.345833333333293</v>
      </c>
      <c r="BN35" s="53">
        <f t="shared" si="49"/>
        <v>1.2999999999999985</v>
      </c>
      <c r="BS35" s="53">
        <f t="shared" si="50"/>
        <v>1.9484762554019852</v>
      </c>
      <c r="BT35" s="53">
        <f t="shared" si="51"/>
        <v>98</v>
      </c>
      <c r="BU35" s="53">
        <f t="shared" si="37"/>
        <v>82.670727512607172</v>
      </c>
      <c r="BV35" s="53">
        <f t="shared" si="38"/>
        <v>-346.29274386233334</v>
      </c>
      <c r="BW35" s="53">
        <f t="shared" si="39"/>
        <v>540.24150206179741</v>
      </c>
      <c r="BX35" s="53">
        <f t="shared" si="40"/>
        <v>-367.5619531544076</v>
      </c>
      <c r="BY35" s="53">
        <f t="shared" si="41"/>
        <v>92.890943697738336</v>
      </c>
    </row>
    <row r="36" spans="1:77" x14ac:dyDescent="0.25">
      <c r="AT36" s="94"/>
      <c r="AX36" s="123">
        <f t="shared" si="31"/>
        <v>93.607910156249986</v>
      </c>
      <c r="AY36" s="78">
        <f t="shared" si="42"/>
        <v>70</v>
      </c>
      <c r="AZ36" s="53">
        <f t="shared" si="32"/>
        <v>-0.39078776041665153</v>
      </c>
      <c r="BA36" s="53">
        <f t="shared" si="33"/>
        <v>4.9127604166665941</v>
      </c>
      <c r="BB36" s="53">
        <f t="shared" si="34"/>
        <v>-9.0598958333332256</v>
      </c>
      <c r="BC36" s="53">
        <f t="shared" si="35"/>
        <v>28.145833333333282</v>
      </c>
      <c r="BD36" s="53">
        <f t="shared" si="36"/>
        <v>69.999999999999986</v>
      </c>
      <c r="BH36" s="123">
        <f t="shared" si="43"/>
        <v>1.7433105468750028</v>
      </c>
      <c r="BI36" s="78">
        <f t="shared" si="44"/>
        <v>70</v>
      </c>
      <c r="BJ36" s="53">
        <f t="shared" si="45"/>
        <v>0.50802408854165804</v>
      </c>
      <c r="BK36" s="53">
        <f t="shared" si="46"/>
        <v>-2.1884114583332903</v>
      </c>
      <c r="BL36" s="53">
        <f t="shared" si="47"/>
        <v>3.5091145833332615</v>
      </c>
      <c r="BM36" s="53">
        <f t="shared" si="48"/>
        <v>-1.385416666666625</v>
      </c>
      <c r="BN36" s="53">
        <f t="shared" si="49"/>
        <v>1.2999999999999985</v>
      </c>
      <c r="BS36" s="53">
        <f t="shared" si="50"/>
        <v>1.9964102874590566</v>
      </c>
      <c r="BT36" s="53">
        <f t="shared" si="51"/>
        <v>99</v>
      </c>
      <c r="BU36" s="53">
        <f t="shared" si="37"/>
        <v>86.097042847194203</v>
      </c>
      <c r="BV36" s="53">
        <f t="shared" si="38"/>
        <v>-357.00208148483853</v>
      </c>
      <c r="BW36" s="53">
        <f t="shared" si="39"/>
        <v>551.32309055681765</v>
      </c>
      <c r="BX36" s="53">
        <f t="shared" si="40"/>
        <v>-371.31258532945259</v>
      </c>
      <c r="BY36" s="53">
        <f t="shared" si="41"/>
        <v>92.890943697738336</v>
      </c>
    </row>
    <row r="37" spans="1:77" x14ac:dyDescent="0.25">
      <c r="AT37" s="94"/>
      <c r="AX37" s="123">
        <f t="shared" si="31"/>
        <v>94.273599999999988</v>
      </c>
      <c r="AY37" s="78">
        <f t="shared" si="42"/>
        <v>72</v>
      </c>
      <c r="AZ37" s="53">
        <f t="shared" si="32"/>
        <v>-0.43739999999998302</v>
      </c>
      <c r="BA37" s="53">
        <f t="shared" si="33"/>
        <v>5.3459999999999219</v>
      </c>
      <c r="BB37" s="53">
        <f t="shared" si="34"/>
        <v>-9.5849999999998854</v>
      </c>
      <c r="BC37" s="53">
        <f t="shared" si="35"/>
        <v>28.94999999999995</v>
      </c>
      <c r="BD37" s="53">
        <f t="shared" si="36"/>
        <v>69.999999999999986</v>
      </c>
      <c r="BH37" s="123">
        <f t="shared" si="43"/>
        <v>1.7747200000000021</v>
      </c>
      <c r="BI37" s="78">
        <f t="shared" si="44"/>
        <v>72</v>
      </c>
      <c r="BJ37" s="53">
        <f t="shared" si="45"/>
        <v>0.56861999999999036</v>
      </c>
      <c r="BK37" s="53">
        <f t="shared" si="46"/>
        <v>-2.3813999999999536</v>
      </c>
      <c r="BL37" s="53">
        <f t="shared" si="47"/>
        <v>3.712499999999924</v>
      </c>
      <c r="BM37" s="53">
        <f t="shared" si="48"/>
        <v>-1.4249999999999572</v>
      </c>
      <c r="BN37" s="53">
        <f t="shared" si="49"/>
        <v>1.2999999999999985</v>
      </c>
      <c r="BS37" s="53">
        <f t="shared" si="50"/>
        <v>2.0437133405754224</v>
      </c>
      <c r="BT37" s="53">
        <f t="shared" si="51"/>
        <v>100</v>
      </c>
      <c r="BU37" s="53">
        <f t="shared" si="37"/>
        <v>89.628774168231445</v>
      </c>
      <c r="BV37" s="53">
        <f t="shared" si="38"/>
        <v>-367.92996950923225</v>
      </c>
      <c r="BW37" s="53">
        <f t="shared" si="39"/>
        <v>562.51718248833549</v>
      </c>
      <c r="BX37" s="53">
        <f t="shared" si="40"/>
        <v>-375.06321750449757</v>
      </c>
      <c r="BY37" s="53">
        <f t="shared" si="41"/>
        <v>92.890943697738336</v>
      </c>
    </row>
    <row r="38" spans="1:77" x14ac:dyDescent="0.25">
      <c r="AX38" s="123">
        <f t="shared" si="31"/>
        <v>94.945197656249988</v>
      </c>
      <c r="AY38" s="78">
        <f t="shared" si="42"/>
        <v>74</v>
      </c>
      <c r="AZ38" s="53">
        <f t="shared" si="32"/>
        <v>-0.48806276041664776</v>
      </c>
      <c r="BA38" s="53">
        <f t="shared" si="33"/>
        <v>5.803989583333248</v>
      </c>
      <c r="BB38" s="53">
        <f t="shared" si="34"/>
        <v>-10.124895833333213</v>
      </c>
      <c r="BC38" s="53">
        <f t="shared" si="35"/>
        <v>29.754166666666613</v>
      </c>
      <c r="BD38" s="53">
        <f t="shared" si="36"/>
        <v>69.999999999999986</v>
      </c>
      <c r="BH38" s="123">
        <f t="shared" si="43"/>
        <v>1.8060992968750018</v>
      </c>
      <c r="BI38" s="78">
        <f t="shared" si="44"/>
        <v>74</v>
      </c>
      <c r="BJ38" s="53">
        <f t="shared" si="45"/>
        <v>0.63448158854165582</v>
      </c>
      <c r="BK38" s="53">
        <f t="shared" si="46"/>
        <v>-2.585413541666616</v>
      </c>
      <c r="BL38" s="53">
        <f t="shared" si="47"/>
        <v>3.9216145833332527</v>
      </c>
      <c r="BM38" s="53">
        <f t="shared" si="48"/>
        <v>-1.4645833333332894</v>
      </c>
      <c r="BN38" s="53">
        <f t="shared" si="49"/>
        <v>1.2999999999999985</v>
      </c>
      <c r="BS38" s="53">
        <f t="shared" si="50"/>
        <v>2.0903181700614226</v>
      </c>
      <c r="BT38" s="53">
        <f t="shared" si="51"/>
        <v>101</v>
      </c>
      <c r="BU38" s="53">
        <f t="shared" si="37"/>
        <v>93.268061810846064</v>
      </c>
      <c r="BV38" s="53">
        <f t="shared" si="38"/>
        <v>-379.07861551533148</v>
      </c>
      <c r="BW38" s="53">
        <f t="shared" si="39"/>
        <v>573.82377785635106</v>
      </c>
      <c r="BX38" s="53">
        <f t="shared" si="40"/>
        <v>-378.81384967954256</v>
      </c>
      <c r="BY38" s="53">
        <f t="shared" si="41"/>
        <v>92.890943697738336</v>
      </c>
    </row>
    <row r="39" spans="1:77" x14ac:dyDescent="0.25">
      <c r="AV39" s="79"/>
      <c r="AX39" s="123">
        <f t="shared" si="31"/>
        <v>95.623162499999992</v>
      </c>
      <c r="AY39" s="78">
        <f t="shared" si="42"/>
        <v>76</v>
      </c>
      <c r="AZ39" s="53">
        <f t="shared" si="32"/>
        <v>-0.54300416666664564</v>
      </c>
      <c r="BA39" s="53">
        <f t="shared" si="33"/>
        <v>6.2874166666665747</v>
      </c>
      <c r="BB39" s="53">
        <f t="shared" si="34"/>
        <v>-10.679583333333206</v>
      </c>
      <c r="BC39" s="53">
        <f t="shared" si="35"/>
        <v>30.55833333333328</v>
      </c>
      <c r="BD39" s="53">
        <f t="shared" si="36"/>
        <v>69.999999999999986</v>
      </c>
      <c r="BH39" s="123">
        <f t="shared" si="43"/>
        <v>1.8374387500000013</v>
      </c>
      <c r="BI39" s="78">
        <f t="shared" si="44"/>
        <v>76</v>
      </c>
      <c r="BJ39" s="53">
        <f t="shared" si="45"/>
        <v>0.70590541666665463</v>
      </c>
      <c r="BK39" s="53">
        <f t="shared" si="46"/>
        <v>-2.8007583333332784</v>
      </c>
      <c r="BL39" s="53">
        <f t="shared" si="47"/>
        <v>4.1364583333332483</v>
      </c>
      <c r="BM39" s="53">
        <f t="shared" si="48"/>
        <v>-1.5041666666666216</v>
      </c>
      <c r="BN39" s="53">
        <f t="shared" si="49"/>
        <v>1.2999999999999985</v>
      </c>
      <c r="BS39" s="53">
        <f t="shared" si="50"/>
        <v>2.136179042132639</v>
      </c>
      <c r="BT39" s="53">
        <f t="shared" si="51"/>
        <v>102</v>
      </c>
      <c r="BU39" s="53">
        <f t="shared" si="37"/>
        <v>97.017067621070964</v>
      </c>
      <c r="BV39" s="53">
        <f t="shared" si="38"/>
        <v>-390.45022708295335</v>
      </c>
      <c r="BW39" s="53">
        <f t="shared" si="39"/>
        <v>585.24287666086423</v>
      </c>
      <c r="BX39" s="53">
        <f t="shared" si="40"/>
        <v>-382.56448185458754</v>
      </c>
      <c r="BY39" s="53">
        <f t="shared" si="41"/>
        <v>92.890943697738336</v>
      </c>
    </row>
    <row r="40" spans="1:77" x14ac:dyDescent="0.25">
      <c r="AV40" s="79"/>
      <c r="AX40" s="123">
        <f t="shared" si="31"/>
        <v>96.307947656249979</v>
      </c>
      <c r="AY40" s="78">
        <f t="shared" si="42"/>
        <v>78</v>
      </c>
      <c r="AZ40" s="53">
        <f t="shared" si="32"/>
        <v>-0.60245859374997668</v>
      </c>
      <c r="BA40" s="53">
        <f t="shared" si="33"/>
        <v>6.7969687499999001</v>
      </c>
      <c r="BB40" s="53">
        <f t="shared" si="34"/>
        <v>-11.249062499999866</v>
      </c>
      <c r="BC40" s="53">
        <f t="shared" si="35"/>
        <v>31.362499999999944</v>
      </c>
      <c r="BD40" s="53">
        <f t="shared" si="36"/>
        <v>69.999999999999986</v>
      </c>
      <c r="BH40" s="123">
        <f t="shared" si="43"/>
        <v>1.8687367968750017</v>
      </c>
      <c r="BI40" s="78">
        <f t="shared" si="44"/>
        <v>78</v>
      </c>
      <c r="BJ40" s="53">
        <f t="shared" si="45"/>
        <v>0.78319617187498669</v>
      </c>
      <c r="BK40" s="53">
        <f t="shared" si="46"/>
        <v>-3.0277406249999408</v>
      </c>
      <c r="BL40" s="53">
        <f t="shared" si="47"/>
        <v>4.3570312499999106</v>
      </c>
      <c r="BM40" s="53">
        <f t="shared" si="48"/>
        <v>-1.5437499999999535</v>
      </c>
      <c r="BN40" s="53">
        <f t="shared" si="49"/>
        <v>1.2999999999999985</v>
      </c>
      <c r="BS40" s="53">
        <f t="shared" si="50"/>
        <v>2.1812717339110321</v>
      </c>
      <c r="BT40" s="53">
        <f t="shared" si="51"/>
        <v>103</v>
      </c>
      <c r="BU40" s="53">
        <f t="shared" si="37"/>
        <v>100.87797495584492</v>
      </c>
      <c r="BV40" s="53">
        <f t="shared" si="38"/>
        <v>-402.04701179191483</v>
      </c>
      <c r="BW40" s="53">
        <f t="shared" si="39"/>
        <v>596.77447890187511</v>
      </c>
      <c r="BX40" s="53">
        <f t="shared" si="40"/>
        <v>-386.31511402963253</v>
      </c>
      <c r="BY40" s="53">
        <f t="shared" si="41"/>
        <v>92.890943697738336</v>
      </c>
    </row>
    <row r="41" spans="1:77" x14ac:dyDescent="0.25">
      <c r="AV41" s="79"/>
      <c r="AX41" s="123">
        <f t="shared" si="31"/>
        <v>96.999999999999986</v>
      </c>
      <c r="AY41" s="78">
        <f t="shared" si="42"/>
        <v>80</v>
      </c>
      <c r="AZ41" s="53">
        <f t="shared" si="32"/>
        <v>-0.66666666666664076</v>
      </c>
      <c r="BA41" s="53">
        <f t="shared" si="33"/>
        <v>7.3333333333332256</v>
      </c>
      <c r="BB41" s="53">
        <f t="shared" si="34"/>
        <v>-11.833333333333192</v>
      </c>
      <c r="BC41" s="53">
        <f t="shared" si="35"/>
        <v>32.166666666666607</v>
      </c>
      <c r="BD41" s="53">
        <f t="shared" si="36"/>
        <v>69.999999999999986</v>
      </c>
      <c r="BH41" s="123">
        <f t="shared" si="43"/>
        <v>1.9000000000000019</v>
      </c>
      <c r="BI41" s="78">
        <f t="shared" si="44"/>
        <v>80</v>
      </c>
      <c r="BJ41" s="53">
        <f t="shared" si="45"/>
        <v>0.86666666666665193</v>
      </c>
      <c r="BK41" s="53">
        <f t="shared" si="46"/>
        <v>-3.2666666666666027</v>
      </c>
      <c r="BL41" s="53">
        <f t="shared" si="47"/>
        <v>4.5833333333332398</v>
      </c>
      <c r="BM41" s="53">
        <f t="shared" si="48"/>
        <v>-1.5833333333332857</v>
      </c>
      <c r="BN41" s="53">
        <f t="shared" si="49"/>
        <v>1.2999999999999985</v>
      </c>
      <c r="BS41" s="53">
        <f t="shared" si="50"/>
        <v>2.2255935334239751</v>
      </c>
      <c r="BT41" s="53">
        <f t="shared" si="51"/>
        <v>104</v>
      </c>
      <c r="BU41" s="53">
        <f t="shared" si="37"/>
        <v>104.85298868301244</v>
      </c>
      <c r="BV41" s="53">
        <f t="shared" si="38"/>
        <v>-413.871177222033</v>
      </c>
      <c r="BW41" s="53">
        <f t="shared" si="39"/>
        <v>608.41858457938372</v>
      </c>
      <c r="BX41" s="53">
        <f t="shared" si="40"/>
        <v>-390.06574620467751</v>
      </c>
      <c r="BY41" s="53">
        <f t="shared" si="41"/>
        <v>92.890943697738336</v>
      </c>
    </row>
    <row r="42" spans="1:77" x14ac:dyDescent="0.25">
      <c r="AV42" s="79"/>
      <c r="AX42" s="123">
        <f t="shared" si="31"/>
        <v>97.699760156249994</v>
      </c>
      <c r="AY42" s="78">
        <f t="shared" si="42"/>
        <v>82</v>
      </c>
      <c r="AZ42" s="53">
        <f t="shared" si="32"/>
        <v>-0.73587526041663809</v>
      </c>
      <c r="BA42" s="53">
        <f t="shared" si="33"/>
        <v>7.8971979166665509</v>
      </c>
      <c r="BB42" s="53">
        <f t="shared" si="34"/>
        <v>-12.432395833333185</v>
      </c>
      <c r="BC42" s="53">
        <f t="shared" si="35"/>
        <v>32.970833333333275</v>
      </c>
      <c r="BD42" s="53">
        <f t="shared" si="36"/>
        <v>69.999999999999986</v>
      </c>
      <c r="BH42" s="123">
        <f t="shared" si="43"/>
        <v>1.9312430468750015</v>
      </c>
      <c r="BI42" s="78">
        <f t="shared" si="44"/>
        <v>82</v>
      </c>
      <c r="BJ42" s="53">
        <f t="shared" si="45"/>
        <v>0.95663783854165041</v>
      </c>
      <c r="BK42" s="53">
        <f t="shared" si="46"/>
        <v>-3.5178427083332644</v>
      </c>
      <c r="BL42" s="53">
        <f t="shared" si="47"/>
        <v>4.8153645833332348</v>
      </c>
      <c r="BM42" s="53">
        <f t="shared" si="48"/>
        <v>-1.6229166666666179</v>
      </c>
      <c r="BN42" s="53">
        <f t="shared" si="49"/>
        <v>1.2999999999999985</v>
      </c>
      <c r="BS42" s="53">
        <f t="shared" si="50"/>
        <v>2.2691632396047083</v>
      </c>
      <c r="BT42" s="53">
        <f t="shared" si="51"/>
        <v>105</v>
      </c>
      <c r="BU42" s="53">
        <f t="shared" si="37"/>
        <v>108.94433518132388</v>
      </c>
      <c r="BV42" s="53">
        <f t="shared" si="38"/>
        <v>-425.924930953125</v>
      </c>
      <c r="BW42" s="53">
        <f t="shared" si="39"/>
        <v>620.17519369338993</v>
      </c>
      <c r="BX42" s="53">
        <f t="shared" si="40"/>
        <v>-393.81637837972244</v>
      </c>
      <c r="BY42" s="53">
        <f t="shared" si="41"/>
        <v>92.890943697738336</v>
      </c>
    </row>
    <row r="43" spans="1:77" x14ac:dyDescent="0.25">
      <c r="AV43" s="79"/>
      <c r="AX43" s="123">
        <f t="shared" si="31"/>
        <v>98.407662499999986</v>
      </c>
      <c r="AY43" s="78">
        <f t="shared" si="42"/>
        <v>84</v>
      </c>
      <c r="AZ43" s="53">
        <f t="shared" si="32"/>
        <v>-0.81033749999996862</v>
      </c>
      <c r="BA43" s="53">
        <f t="shared" si="33"/>
        <v>8.4892499999998758</v>
      </c>
      <c r="BB43" s="53">
        <f t="shared" si="34"/>
        <v>-13.046249999999844</v>
      </c>
      <c r="BC43" s="53">
        <f t="shared" si="35"/>
        <v>33.774999999999942</v>
      </c>
      <c r="BD43" s="53">
        <f t="shared" si="36"/>
        <v>69.999999999999986</v>
      </c>
      <c r="BH43" s="123">
        <f t="shared" si="43"/>
        <v>1.962488750000001</v>
      </c>
      <c r="BI43" s="78">
        <f t="shared" si="44"/>
        <v>84</v>
      </c>
      <c r="BJ43" s="53">
        <f t="shared" si="45"/>
        <v>1.053438749999982</v>
      </c>
      <c r="BK43" s="53">
        <f t="shared" si="46"/>
        <v>-3.781574999999926</v>
      </c>
      <c r="BL43" s="53">
        <f t="shared" si="47"/>
        <v>5.0531249999998966</v>
      </c>
      <c r="BM43" s="53">
        <f t="shared" si="48"/>
        <v>-1.6624999999999501</v>
      </c>
      <c r="BN43" s="53">
        <f t="shared" si="49"/>
        <v>1.2999999999999985</v>
      </c>
      <c r="BS43" s="53">
        <f t="shared" si="50"/>
        <v>2.3120211622922824</v>
      </c>
      <c r="BT43" s="53">
        <f t="shared" si="51"/>
        <v>106</v>
      </c>
      <c r="BU43" s="53">
        <f t="shared" si="37"/>
        <v>113.15426234043537</v>
      </c>
      <c r="BV43" s="53">
        <f t="shared" si="38"/>
        <v>-438.21048056500774</v>
      </c>
      <c r="BW43" s="53">
        <f t="shared" si="39"/>
        <v>632.04430624389374</v>
      </c>
      <c r="BX43" s="53">
        <f t="shared" si="40"/>
        <v>-397.56701055476742</v>
      </c>
      <c r="BY43" s="53">
        <f t="shared" si="41"/>
        <v>92.890943697738336</v>
      </c>
    </row>
    <row r="44" spans="1:77" x14ac:dyDescent="0.25">
      <c r="AV44" s="79"/>
      <c r="AX44" s="123">
        <f t="shared" si="31"/>
        <v>99.124135156249991</v>
      </c>
      <c r="AY44" s="78">
        <f t="shared" si="42"/>
        <v>86</v>
      </c>
      <c r="AZ44" s="53">
        <f t="shared" si="32"/>
        <v>-0.8903127604166321</v>
      </c>
      <c r="BA44" s="53">
        <f t="shared" si="33"/>
        <v>9.1101770833332001</v>
      </c>
      <c r="BB44" s="53">
        <f t="shared" si="34"/>
        <v>-13.674895833333169</v>
      </c>
      <c r="BC44" s="53">
        <f t="shared" si="35"/>
        <v>34.579166666666609</v>
      </c>
      <c r="BD44" s="53">
        <f t="shared" si="36"/>
        <v>69.999999999999986</v>
      </c>
      <c r="BH44" s="123">
        <f t="shared" si="43"/>
        <v>1.9937680468750005</v>
      </c>
      <c r="BI44" s="78">
        <f t="shared" si="44"/>
        <v>86</v>
      </c>
      <c r="BJ44" s="53">
        <f t="shared" si="45"/>
        <v>1.1574065885416469</v>
      </c>
      <c r="BK44" s="53">
        <f t="shared" si="46"/>
        <v>-4.0581697916665869</v>
      </c>
      <c r="BL44" s="53">
        <f t="shared" si="47"/>
        <v>5.2966145833332243</v>
      </c>
      <c r="BM44" s="53">
        <f t="shared" si="48"/>
        <v>-1.7020833333332823</v>
      </c>
      <c r="BN44" s="53">
        <f t="shared" si="49"/>
        <v>1.2999999999999985</v>
      </c>
      <c r="BS44" s="53">
        <f t="shared" si="50"/>
        <v>2.3542291222316152</v>
      </c>
      <c r="BT44" s="53">
        <f t="shared" si="51"/>
        <v>107</v>
      </c>
      <c r="BU44" s="53">
        <f t="shared" si="37"/>
        <v>117.48503956090885</v>
      </c>
      <c r="BV44" s="53">
        <f t="shared" si="38"/>
        <v>-450.73003363749842</v>
      </c>
      <c r="BW44" s="53">
        <f t="shared" si="39"/>
        <v>644.02592223089528</v>
      </c>
      <c r="BX44" s="53">
        <f t="shared" si="40"/>
        <v>-401.31764272981241</v>
      </c>
      <c r="BY44" s="53">
        <f t="shared" si="41"/>
        <v>92.890943697738336</v>
      </c>
    </row>
    <row r="45" spans="1:77" x14ac:dyDescent="0.25">
      <c r="E45" s="81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V45" s="79"/>
      <c r="AX45" s="123">
        <f t="shared" si="31"/>
        <v>99.849599999999981</v>
      </c>
      <c r="AY45" s="78">
        <f t="shared" si="42"/>
        <v>88</v>
      </c>
      <c r="AZ45" s="53">
        <f t="shared" si="32"/>
        <v>-0.97606666666662878</v>
      </c>
      <c r="BA45" s="53">
        <f t="shared" si="33"/>
        <v>9.7606666666665234</v>
      </c>
      <c r="BB45" s="53">
        <f t="shared" si="34"/>
        <v>-14.318333333333161</v>
      </c>
      <c r="BC45" s="53">
        <f t="shared" si="35"/>
        <v>35.383333333333269</v>
      </c>
      <c r="BD45" s="53">
        <f t="shared" si="36"/>
        <v>69.999999999999986</v>
      </c>
      <c r="BH45" s="123">
        <f t="shared" si="43"/>
        <v>2.0251200000000003</v>
      </c>
      <c r="BI45" s="78">
        <f t="shared" si="44"/>
        <v>88</v>
      </c>
      <c r="BJ45" s="53">
        <f t="shared" si="45"/>
        <v>1.268886666666645</v>
      </c>
      <c r="BK45" s="53">
        <f t="shared" si="46"/>
        <v>-4.3479333333332484</v>
      </c>
      <c r="BL45" s="53">
        <f t="shared" si="47"/>
        <v>5.5458333333332197</v>
      </c>
      <c r="BM45" s="53">
        <f t="shared" si="48"/>
        <v>-1.7416666666666143</v>
      </c>
      <c r="BN45" s="53">
        <f t="shared" si="49"/>
        <v>1.2999999999999985</v>
      </c>
      <c r="BS45" s="53">
        <f t="shared" si="50"/>
        <v>2.3958704510736055</v>
      </c>
      <c r="BT45" s="53">
        <f t="shared" si="51"/>
        <v>108</v>
      </c>
      <c r="BU45" s="53">
        <f t="shared" si="37"/>
        <v>121.93895775421207</v>
      </c>
      <c r="BV45" s="53">
        <f t="shared" si="38"/>
        <v>-463.48579775041395</v>
      </c>
      <c r="BW45" s="53">
        <f t="shared" si="39"/>
        <v>656.12004165439453</v>
      </c>
      <c r="BX45" s="53">
        <f t="shared" si="40"/>
        <v>-405.06827490485739</v>
      </c>
      <c r="BY45" s="53">
        <f t="shared" si="41"/>
        <v>92.890943697738336</v>
      </c>
    </row>
    <row r="46" spans="1:77" x14ac:dyDescent="0.25">
      <c r="AV46" s="79"/>
      <c r="AX46" s="123">
        <f t="shared" si="31"/>
        <v>100.58447265624999</v>
      </c>
      <c r="AY46" s="78">
        <f t="shared" si="42"/>
        <v>90</v>
      </c>
      <c r="AZ46" s="53">
        <f t="shared" si="32"/>
        <v>-1.0678710937499585</v>
      </c>
      <c r="BA46" s="53">
        <f t="shared" si="33"/>
        <v>10.441406249999847</v>
      </c>
      <c r="BB46" s="53">
        <f t="shared" si="34"/>
        <v>-14.976562499999821</v>
      </c>
      <c r="BC46" s="53">
        <f t="shared" si="35"/>
        <v>36.187499999999936</v>
      </c>
      <c r="BD46" s="53">
        <f t="shared" si="36"/>
        <v>69.999999999999986</v>
      </c>
      <c r="BH46" s="123">
        <f t="shared" si="43"/>
        <v>2.0565917968750007</v>
      </c>
      <c r="BI46" s="78">
        <f t="shared" si="44"/>
        <v>90</v>
      </c>
      <c r="BJ46" s="53">
        <f t="shared" si="45"/>
        <v>1.3882324218749764</v>
      </c>
      <c r="BK46" s="53">
        <f t="shared" si="46"/>
        <v>-4.6511718749999087</v>
      </c>
      <c r="BL46" s="53">
        <f t="shared" si="47"/>
        <v>5.800781249999881</v>
      </c>
      <c r="BM46" s="53">
        <f t="shared" si="48"/>
        <v>-1.7812499999999465</v>
      </c>
      <c r="BN46" s="53">
        <f t="shared" si="49"/>
        <v>1.2999999999999985</v>
      </c>
      <c r="BS46" s="53">
        <f t="shared" si="50"/>
        <v>2.4370499913743942</v>
      </c>
      <c r="BT46" s="53">
        <f t="shared" si="51"/>
        <v>109</v>
      </c>
      <c r="BU46" s="53">
        <f t="shared" si="37"/>
        <v>126.51832934271856</v>
      </c>
      <c r="BV46" s="53">
        <f t="shared" si="38"/>
        <v>-476.47998048357152</v>
      </c>
      <c r="BW46" s="53">
        <f t="shared" si="39"/>
        <v>668.32666451439138</v>
      </c>
      <c r="BX46" s="53">
        <f t="shared" si="40"/>
        <v>-408.81890707990237</v>
      </c>
      <c r="BY46" s="53">
        <f t="shared" si="41"/>
        <v>92.890943697738336</v>
      </c>
    </row>
    <row r="47" spans="1:77" x14ac:dyDescent="0.25">
      <c r="A47" s="185" t="s">
        <v>57</v>
      </c>
      <c r="B47" s="185"/>
      <c r="C47" s="185"/>
      <c r="AX47" s="123">
        <f t="shared" si="31"/>
        <v>101.3291625</v>
      </c>
      <c r="AY47" s="78">
        <f t="shared" si="42"/>
        <v>92</v>
      </c>
      <c r="AZ47" s="53">
        <f t="shared" si="32"/>
        <v>-1.1660041666666214</v>
      </c>
      <c r="BA47" s="53">
        <f t="shared" si="33"/>
        <v>11.15308333333317</v>
      </c>
      <c r="BB47" s="53">
        <f t="shared" si="34"/>
        <v>-15.649583333333146</v>
      </c>
      <c r="BC47" s="53">
        <f t="shared" si="35"/>
        <v>36.991666666666603</v>
      </c>
      <c r="BD47" s="53">
        <f t="shared" si="36"/>
        <v>69.999999999999986</v>
      </c>
      <c r="BH47" s="123">
        <f t="shared" si="43"/>
        <v>2.0882387500000008</v>
      </c>
      <c r="BI47" s="78">
        <f t="shared" si="44"/>
        <v>92</v>
      </c>
      <c r="BJ47" s="53">
        <f t="shared" si="45"/>
        <v>1.5158054166666408</v>
      </c>
      <c r="BK47" s="53">
        <f t="shared" si="46"/>
        <v>-4.9681916666665691</v>
      </c>
      <c r="BL47" s="53">
        <f t="shared" si="47"/>
        <v>6.061458333333209</v>
      </c>
      <c r="BM47" s="53">
        <f t="shared" si="48"/>
        <v>-1.8208333333332787</v>
      </c>
      <c r="BN47" s="53">
        <f t="shared" si="49"/>
        <v>1.2999999999999985</v>
      </c>
      <c r="BS47" s="53">
        <f t="shared" si="50"/>
        <v>2.4778940965965006</v>
      </c>
      <c r="BT47" s="53">
        <f t="shared" si="51"/>
        <v>110</v>
      </c>
      <c r="BU47" s="53">
        <f t="shared" si="37"/>
        <v>131.22548825970767</v>
      </c>
      <c r="BV47" s="53">
        <f t="shared" si="38"/>
        <v>-489.71478941678811</v>
      </c>
      <c r="BW47" s="53">
        <f t="shared" si="39"/>
        <v>680.64579081088596</v>
      </c>
      <c r="BX47" s="53">
        <f t="shared" si="40"/>
        <v>-412.56953925494736</v>
      </c>
      <c r="BY47" s="53">
        <f t="shared" si="41"/>
        <v>92.890943697738336</v>
      </c>
    </row>
    <row r="48" spans="1:77" x14ac:dyDescent="0.25">
      <c r="AX48" s="123">
        <f t="shared" si="31"/>
        <v>102.08407265624999</v>
      </c>
      <c r="AY48" s="78">
        <f t="shared" si="42"/>
        <v>94</v>
      </c>
      <c r="AZ48" s="53">
        <f t="shared" si="32"/>
        <v>-1.2707502604166174</v>
      </c>
      <c r="BA48" s="53">
        <f t="shared" si="33"/>
        <v>11.896385416666492</v>
      </c>
      <c r="BB48" s="53">
        <f t="shared" si="34"/>
        <v>-16.337395833333137</v>
      </c>
      <c r="BC48" s="53">
        <f t="shared" si="35"/>
        <v>37.79583333333327</v>
      </c>
      <c r="BD48" s="53">
        <f t="shared" si="36"/>
        <v>69.999999999999986</v>
      </c>
      <c r="BH48" s="123">
        <f t="shared" si="43"/>
        <v>2.1201242968749998</v>
      </c>
      <c r="BI48" s="78">
        <f t="shared" si="44"/>
        <v>94</v>
      </c>
      <c r="BJ48" s="53">
        <f t="shared" si="45"/>
        <v>1.6519753385416385</v>
      </c>
      <c r="BK48" s="53">
        <f t="shared" si="46"/>
        <v>-5.2992989583332299</v>
      </c>
      <c r="BL48" s="53">
        <f t="shared" si="47"/>
        <v>6.3278645833332039</v>
      </c>
      <c r="BM48" s="53">
        <f t="shared" si="48"/>
        <v>-1.8604166666666109</v>
      </c>
      <c r="BN48" s="53">
        <f t="shared" si="49"/>
        <v>1.2999999999999985</v>
      </c>
      <c r="BS48" s="53">
        <f t="shared" si="50"/>
        <v>2.5185506311078569</v>
      </c>
      <c r="BT48" s="53">
        <f t="shared" si="51"/>
        <v>111</v>
      </c>
      <c r="BU48" s="53">
        <f t="shared" si="37"/>
        <v>136.06278994936451</v>
      </c>
      <c r="BV48" s="53">
        <f t="shared" si="38"/>
        <v>-503.19243212988079</v>
      </c>
      <c r="BW48" s="53">
        <f t="shared" si="39"/>
        <v>693.07742054387813</v>
      </c>
      <c r="BX48" s="53">
        <f t="shared" si="40"/>
        <v>-416.32017142999234</v>
      </c>
      <c r="BY48" s="53">
        <f t="shared" si="41"/>
        <v>92.890943697738336</v>
      </c>
    </row>
    <row r="49" spans="50:61" x14ac:dyDescent="0.25">
      <c r="AX49" s="123"/>
      <c r="AY49" s="78"/>
      <c r="BH49" s="123"/>
      <c r="BI49" s="78"/>
    </row>
    <row r="50" spans="50:61" x14ac:dyDescent="0.25">
      <c r="AX50" s="123"/>
      <c r="AY50" s="78"/>
      <c r="BH50" s="123"/>
      <c r="BI50" s="78"/>
    </row>
    <row r="51" spans="50:61" x14ac:dyDescent="0.25">
      <c r="AX51" s="123"/>
      <c r="AY51" s="78"/>
      <c r="BH51" s="123"/>
      <c r="BI51" s="78"/>
    </row>
    <row r="52" spans="50:61" x14ac:dyDescent="0.25">
      <c r="AX52" s="123"/>
      <c r="AY52" s="78"/>
      <c r="BH52" s="123"/>
      <c r="BI52" s="78"/>
    </row>
    <row r="53" spans="50:61" x14ac:dyDescent="0.25">
      <c r="AX53" s="123"/>
      <c r="AY53" s="78"/>
      <c r="BH53" s="123"/>
      <c r="BI53" s="78"/>
    </row>
    <row r="54" spans="50:61" x14ac:dyDescent="0.25">
      <c r="AX54" s="123"/>
      <c r="AY54" s="78"/>
      <c r="BH54" s="123"/>
      <c r="BI54" s="78"/>
    </row>
    <row r="55" spans="50:61" x14ac:dyDescent="0.25">
      <c r="AX55" s="123"/>
      <c r="AY55" s="78"/>
      <c r="BH55" s="123"/>
      <c r="BI55" s="78"/>
    </row>
    <row r="56" spans="50:61" x14ac:dyDescent="0.25">
      <c r="AX56" s="123"/>
      <c r="AY56" s="78"/>
      <c r="BH56" s="123"/>
      <c r="BI56" s="78"/>
    </row>
    <row r="57" spans="50:61" x14ac:dyDescent="0.25">
      <c r="AX57" s="123"/>
      <c r="AY57" s="78"/>
      <c r="BH57" s="123"/>
      <c r="BI57" s="78"/>
    </row>
    <row r="58" spans="50:61" x14ac:dyDescent="0.25">
      <c r="AX58" s="123"/>
      <c r="AY58" s="78"/>
      <c r="BH58" s="123"/>
      <c r="BI58" s="78"/>
    </row>
    <row r="59" spans="50:61" x14ac:dyDescent="0.25">
      <c r="AX59" s="123"/>
      <c r="AY59" s="78"/>
      <c r="BH59" s="123"/>
      <c r="BI59" s="78"/>
    </row>
    <row r="60" spans="50:61" x14ac:dyDescent="0.25">
      <c r="AX60" s="123"/>
      <c r="AY60" s="78"/>
      <c r="BH60" s="123"/>
      <c r="BI60" s="78"/>
    </row>
    <row r="61" spans="50:61" x14ac:dyDescent="0.25">
      <c r="AX61" s="123"/>
      <c r="AY61" s="78"/>
      <c r="BH61" s="123"/>
      <c r="BI61" s="78"/>
    </row>
    <row r="62" spans="50:61" x14ac:dyDescent="0.25">
      <c r="AX62" s="123"/>
      <c r="AY62" s="78"/>
      <c r="BH62" s="123"/>
      <c r="BI62" s="78"/>
    </row>
    <row r="63" spans="50:61" x14ac:dyDescent="0.25">
      <c r="AX63" s="123"/>
      <c r="AY63" s="78"/>
      <c r="BH63" s="123"/>
      <c r="BI63" s="78"/>
    </row>
    <row r="64" spans="50:61" x14ac:dyDescent="0.25">
      <c r="AX64" s="123"/>
      <c r="AY64" s="78"/>
      <c r="BH64" s="123"/>
      <c r="BI64" s="78"/>
    </row>
    <row r="65" spans="50:61" x14ac:dyDescent="0.25">
      <c r="AX65" s="123"/>
      <c r="AY65" s="78"/>
      <c r="BH65" s="123"/>
      <c r="BI65" s="78"/>
    </row>
    <row r="66" spans="50:61" x14ac:dyDescent="0.25">
      <c r="AX66" s="123"/>
      <c r="AY66" s="78"/>
      <c r="BH66" s="123"/>
      <c r="BI66" s="78"/>
    </row>
    <row r="67" spans="50:61" x14ac:dyDescent="0.25">
      <c r="AX67" s="123"/>
      <c r="AY67" s="78"/>
      <c r="BH67" s="123"/>
      <c r="BI67" s="78"/>
    </row>
    <row r="68" spans="50:61" x14ac:dyDescent="0.25">
      <c r="AX68" s="123"/>
      <c r="AY68" s="78"/>
      <c r="BH68" s="123"/>
      <c r="BI68" s="78"/>
    </row>
    <row r="69" spans="50:61" x14ac:dyDescent="0.25">
      <c r="AX69" s="123"/>
      <c r="AY69" s="78"/>
      <c r="BH69" s="123"/>
      <c r="BI69" s="78"/>
    </row>
    <row r="70" spans="50:61" x14ac:dyDescent="0.25">
      <c r="AX70" s="123"/>
      <c r="AY70" s="78"/>
      <c r="BH70" s="123"/>
      <c r="BI70" s="78"/>
    </row>
    <row r="71" spans="50:61" x14ac:dyDescent="0.25">
      <c r="AX71" s="123"/>
      <c r="AY71" s="78"/>
      <c r="BH71" s="123"/>
      <c r="BI71" s="78"/>
    </row>
    <row r="72" spans="50:61" x14ac:dyDescent="0.25">
      <c r="AX72" s="123"/>
      <c r="AY72" s="78"/>
      <c r="BH72" s="123"/>
      <c r="BI72" s="78"/>
    </row>
    <row r="73" spans="50:61" x14ac:dyDescent="0.25">
      <c r="AX73" s="123"/>
      <c r="AY73" s="78"/>
      <c r="BH73" s="123"/>
      <c r="BI73" s="78"/>
    </row>
    <row r="74" spans="50:61" x14ac:dyDescent="0.25">
      <c r="AX74" s="123"/>
      <c r="AY74" s="78"/>
      <c r="BH74" s="123"/>
      <c r="BI74" s="78"/>
    </row>
    <row r="75" spans="50:61" x14ac:dyDescent="0.25">
      <c r="AX75" s="123"/>
      <c r="AY75" s="78"/>
      <c r="BH75" s="123"/>
      <c r="BI75" s="78"/>
    </row>
    <row r="76" spans="50:61" x14ac:dyDescent="0.25">
      <c r="AX76" s="123"/>
      <c r="AY76" s="78"/>
      <c r="BH76" s="123"/>
      <c r="BI76" s="78"/>
    </row>
    <row r="77" spans="50:61" x14ac:dyDescent="0.25">
      <c r="AX77" s="123"/>
      <c r="AY77" s="78"/>
      <c r="BH77" s="123"/>
      <c r="BI77" s="78"/>
    </row>
    <row r="78" spans="50:61" x14ac:dyDescent="0.25">
      <c r="AX78" s="123"/>
      <c r="AY78" s="78"/>
      <c r="BH78" s="123"/>
      <c r="BI78" s="78"/>
    </row>
    <row r="79" spans="50:61" x14ac:dyDescent="0.25">
      <c r="AX79" s="123"/>
      <c r="AY79" s="78"/>
      <c r="BH79" s="123"/>
      <c r="BI79" s="78"/>
    </row>
    <row r="80" spans="50:61" x14ac:dyDescent="0.25">
      <c r="AX80" s="123"/>
      <c r="AY80" s="78"/>
      <c r="BH80" s="123"/>
      <c r="BI80" s="78"/>
    </row>
    <row r="81" spans="50:61" x14ac:dyDescent="0.25">
      <c r="AX81" s="123"/>
      <c r="AY81" s="78"/>
      <c r="BH81" s="123"/>
      <c r="BI81" s="78"/>
    </row>
    <row r="82" spans="50:61" x14ac:dyDescent="0.25">
      <c r="AX82" s="123"/>
      <c r="AY82" s="78"/>
      <c r="BH82" s="123"/>
      <c r="BI82" s="78"/>
    </row>
    <row r="83" spans="50:61" x14ac:dyDescent="0.25">
      <c r="AX83" s="123"/>
      <c r="AY83" s="78"/>
      <c r="BH83" s="123"/>
      <c r="BI83" s="78"/>
    </row>
    <row r="84" spans="50:61" x14ac:dyDescent="0.25">
      <c r="AX84" s="123"/>
      <c r="AY84" s="78"/>
      <c r="BH84" s="123"/>
      <c r="BI84" s="78"/>
    </row>
    <row r="85" spans="50:61" x14ac:dyDescent="0.25">
      <c r="AX85" s="123"/>
      <c r="AY85" s="78"/>
      <c r="BH85" s="123"/>
      <c r="BI85" s="78"/>
    </row>
    <row r="86" spans="50:61" x14ac:dyDescent="0.25">
      <c r="AX86" s="123"/>
      <c r="AY86" s="78"/>
      <c r="BH86" s="123"/>
      <c r="BI86" s="78"/>
    </row>
    <row r="87" spans="50:61" x14ac:dyDescent="0.25">
      <c r="AX87" s="123"/>
      <c r="AY87" s="78"/>
      <c r="BH87" s="123"/>
      <c r="BI87" s="78"/>
    </row>
    <row r="88" spans="50:61" x14ac:dyDescent="0.25">
      <c r="AX88" s="123"/>
      <c r="AY88" s="78"/>
      <c r="BH88" s="123"/>
      <c r="BI88" s="78"/>
    </row>
    <row r="89" spans="50:61" x14ac:dyDescent="0.25">
      <c r="AX89" s="123"/>
      <c r="AY89" s="78"/>
      <c r="BH89" s="123"/>
      <c r="BI89" s="78"/>
    </row>
    <row r="90" spans="50:61" x14ac:dyDescent="0.25">
      <c r="AX90" s="123"/>
      <c r="AY90" s="78"/>
      <c r="BH90" s="123"/>
      <c r="BI90" s="78"/>
    </row>
    <row r="91" spans="50:61" x14ac:dyDescent="0.25">
      <c r="AX91" s="123"/>
      <c r="AY91" s="78"/>
      <c r="BH91" s="123"/>
      <c r="BI91" s="78"/>
    </row>
    <row r="92" spans="50:61" x14ac:dyDescent="0.25">
      <c r="AX92" s="123"/>
      <c r="AY92" s="78"/>
      <c r="BH92" s="123"/>
      <c r="BI92" s="78"/>
    </row>
    <row r="93" spans="50:61" x14ac:dyDescent="0.25">
      <c r="AX93" s="123"/>
      <c r="AY93" s="78"/>
      <c r="BH93" s="123"/>
      <c r="BI93" s="78"/>
    </row>
    <row r="94" spans="50:61" x14ac:dyDescent="0.25">
      <c r="AX94" s="123"/>
      <c r="AY94" s="78"/>
      <c r="BH94" s="123"/>
      <c r="BI94" s="78"/>
    </row>
    <row r="95" spans="50:61" x14ac:dyDescent="0.25">
      <c r="AX95" s="123"/>
      <c r="AY95" s="78"/>
      <c r="BH95" s="123"/>
      <c r="BI95" s="78"/>
    </row>
    <row r="96" spans="50:61" x14ac:dyDescent="0.25">
      <c r="AX96" s="123"/>
      <c r="AY96" s="78"/>
      <c r="BH96" s="123"/>
      <c r="BI96" s="78"/>
    </row>
    <row r="97" spans="50:77" x14ac:dyDescent="0.25">
      <c r="AX97" s="123"/>
      <c r="AY97" s="78"/>
      <c r="BH97" s="123"/>
      <c r="BI97" s="78"/>
    </row>
    <row r="98" spans="50:77" x14ac:dyDescent="0.25">
      <c r="AX98" s="123"/>
      <c r="AY98" s="78"/>
      <c r="BH98" s="123"/>
      <c r="BI98" s="78"/>
    </row>
    <row r="99" spans="50:77" x14ac:dyDescent="0.25">
      <c r="AX99" s="123"/>
      <c r="AY99" s="78"/>
      <c r="BH99" s="123"/>
      <c r="BI99" s="78"/>
    </row>
    <row r="100" spans="50:77" x14ac:dyDescent="0.25">
      <c r="AX100" s="123"/>
      <c r="AY100" s="78"/>
      <c r="BH100" s="123"/>
      <c r="BI100" s="78"/>
    </row>
    <row r="101" spans="50:77" x14ac:dyDescent="0.25">
      <c r="AX101" s="123"/>
      <c r="AY101" s="78"/>
      <c r="BH101" s="123"/>
      <c r="BI101" s="78"/>
    </row>
    <row r="102" spans="50:77" x14ac:dyDescent="0.25">
      <c r="AX102" s="123"/>
      <c r="AY102" s="78"/>
      <c r="BH102" s="123"/>
      <c r="BI102" s="78"/>
    </row>
    <row r="103" spans="50:77" x14ac:dyDescent="0.25">
      <c r="AX103" s="123"/>
      <c r="AY103" s="78"/>
      <c r="BH103" s="123"/>
      <c r="BI103" s="78"/>
    </row>
    <row r="104" spans="50:77" x14ac:dyDescent="0.25">
      <c r="AX104" s="123"/>
      <c r="AY104" s="78"/>
      <c r="BH104" s="123"/>
      <c r="BI104" s="78"/>
    </row>
    <row r="105" spans="50:77" x14ac:dyDescent="0.25">
      <c r="AX105" s="123"/>
      <c r="AY105" s="78"/>
      <c r="BH105" s="123"/>
      <c r="BI105" s="78"/>
    </row>
    <row r="106" spans="50:77" x14ac:dyDescent="0.25">
      <c r="AX106" s="123"/>
      <c r="AY106" s="78"/>
      <c r="BH106" s="123"/>
      <c r="BI106" s="78"/>
    </row>
    <row r="107" spans="50:77" x14ac:dyDescent="0.25">
      <c r="AX107" s="123"/>
      <c r="AY107" s="78"/>
      <c r="BH107" s="123"/>
      <c r="BI107" s="78"/>
    </row>
    <row r="108" spans="50:77" x14ac:dyDescent="0.25">
      <c r="AX108" s="123"/>
      <c r="AY108" s="78"/>
      <c r="BH108" s="123"/>
      <c r="BI108" s="78"/>
    </row>
    <row r="109" spans="50:77" x14ac:dyDescent="0.25">
      <c r="AX109" s="123"/>
      <c r="AY109" s="78"/>
      <c r="BH109" s="123"/>
      <c r="BI109" s="78"/>
    </row>
    <row r="110" spans="50:77" x14ac:dyDescent="0.25">
      <c r="AX110" s="123"/>
      <c r="AY110" s="78"/>
      <c r="BH110" s="123"/>
      <c r="BI110" s="78"/>
    </row>
    <row r="111" spans="50:77" x14ac:dyDescent="0.25">
      <c r="AX111" s="123">
        <f t="shared" si="31"/>
        <v>102.84959999999998</v>
      </c>
      <c r="AY111" s="78">
        <f>AY48+2</f>
        <v>96</v>
      </c>
      <c r="AZ111" s="53">
        <f t="shared" si="32"/>
        <v>-1.3823999999999463</v>
      </c>
      <c r="BA111" s="53">
        <f t="shared" si="33"/>
        <v>12.671999999999814</v>
      </c>
      <c r="BB111" s="53">
        <f t="shared" si="34"/>
        <v>-17.039999999999797</v>
      </c>
      <c r="BC111" s="53">
        <f t="shared" si="35"/>
        <v>38.59999999999993</v>
      </c>
      <c r="BD111" s="53">
        <f t="shared" si="36"/>
        <v>69.999999999999986</v>
      </c>
      <c r="BH111" s="123">
        <f t="shared" si="43"/>
        <v>2.1523200000000005</v>
      </c>
      <c r="BI111" s="78">
        <f>BI48+2</f>
        <v>96</v>
      </c>
      <c r="BJ111" s="53">
        <f t="shared" si="45"/>
        <v>1.7971199999999694</v>
      </c>
      <c r="BK111" s="53">
        <f t="shared" si="46"/>
        <v>-5.644799999999889</v>
      </c>
      <c r="BL111" s="53">
        <f t="shared" si="47"/>
        <v>6.5999999999998646</v>
      </c>
      <c r="BM111" s="53">
        <f t="shared" si="48"/>
        <v>-1.8999999999999431</v>
      </c>
      <c r="BN111" s="53">
        <f t="shared" si="49"/>
        <v>1.2999999999999985</v>
      </c>
      <c r="BS111" s="53">
        <f t="shared" si="50"/>
        <v>2.5591889701824897</v>
      </c>
      <c r="BT111" s="53">
        <f>BT48+1</f>
        <v>112</v>
      </c>
      <c r="BU111" s="53">
        <f t="shared" si="37"/>
        <v>141.03261136678009</v>
      </c>
      <c r="BV111" s="53">
        <f t="shared" si="38"/>
        <v>-516.9151162026667</v>
      </c>
      <c r="BW111" s="53">
        <f t="shared" si="39"/>
        <v>705.62155371336803</v>
      </c>
      <c r="BX111" s="53">
        <f t="shared" si="40"/>
        <v>-420.07080360503727</v>
      </c>
      <c r="BY111" s="53">
        <f t="shared" si="41"/>
        <v>92.890943697738336</v>
      </c>
    </row>
    <row r="112" spans="50:77" x14ac:dyDescent="0.25">
      <c r="AX112" s="123">
        <f t="shared" si="31"/>
        <v>103.62613515624999</v>
      </c>
      <c r="AY112" s="78">
        <f t="shared" si="42"/>
        <v>98</v>
      </c>
      <c r="AZ112" s="53">
        <f t="shared" si="32"/>
        <v>-1.5012502604166085</v>
      </c>
      <c r="BA112" s="53">
        <f t="shared" si="33"/>
        <v>13.480614583333136</v>
      </c>
      <c r="BB112" s="53">
        <f t="shared" si="34"/>
        <v>-17.757395833333121</v>
      </c>
      <c r="BC112" s="53">
        <f t="shared" si="35"/>
        <v>39.404166666666598</v>
      </c>
      <c r="BD112" s="53">
        <f t="shared" si="36"/>
        <v>69.999999999999986</v>
      </c>
      <c r="BH112" s="123">
        <f t="shared" si="43"/>
        <v>2.184905546875</v>
      </c>
      <c r="BI112" s="78">
        <f t="shared" si="44"/>
        <v>98</v>
      </c>
      <c r="BJ112" s="53">
        <f t="shared" si="45"/>
        <v>1.9516253385416333</v>
      </c>
      <c r="BK112" s="53">
        <f t="shared" si="46"/>
        <v>-6.0050010416665494</v>
      </c>
      <c r="BL112" s="53">
        <f t="shared" si="47"/>
        <v>6.8778645833331922</v>
      </c>
      <c r="BM112" s="53">
        <f t="shared" si="48"/>
        <v>-1.939583333333275</v>
      </c>
      <c r="BN112" s="53">
        <f t="shared" si="49"/>
        <v>1.2999999999999985</v>
      </c>
      <c r="BS112" s="53">
        <f t="shared" si="50"/>
        <v>2.6000000000001222</v>
      </c>
      <c r="BT112" s="53">
        <f t="shared" si="51"/>
        <v>113</v>
      </c>
      <c r="BU112" s="53">
        <f t="shared" si="37"/>
        <v>146.13735097795109</v>
      </c>
      <c r="BV112" s="53">
        <f t="shared" si="38"/>
        <v>-530.88504921496269</v>
      </c>
      <c r="BW112" s="53">
        <f t="shared" si="39"/>
        <v>718.27819031935564</v>
      </c>
      <c r="BX112" s="53">
        <f t="shared" si="40"/>
        <v>-423.82143578008225</v>
      </c>
      <c r="BY112" s="53">
        <f t="shared" si="41"/>
        <v>92.890943697738336</v>
      </c>
    </row>
    <row r="113" spans="1:77" x14ac:dyDescent="0.25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3"/>
      <c r="AK113" s="53"/>
      <c r="AL113" s="53"/>
      <c r="AM113" s="53"/>
      <c r="AN113" s="53"/>
      <c r="AX113" s="123">
        <f t="shared" si="31"/>
        <v>104.4140625</v>
      </c>
      <c r="AY113" s="78">
        <f t="shared" si="42"/>
        <v>100</v>
      </c>
      <c r="AZ113" s="53">
        <f t="shared" si="32"/>
        <v>-1.6276041666666035</v>
      </c>
      <c r="BA113" s="53">
        <f t="shared" si="33"/>
        <v>14.322916666666456</v>
      </c>
      <c r="BB113" s="53">
        <f t="shared" si="34"/>
        <v>-18.489583333333112</v>
      </c>
      <c r="BC113" s="53">
        <f t="shared" si="35"/>
        <v>40.208333333333265</v>
      </c>
      <c r="BD113" s="53">
        <f t="shared" si="36"/>
        <v>69.999999999999986</v>
      </c>
      <c r="BH113" s="123">
        <f t="shared" si="43"/>
        <v>2.2179687499999998</v>
      </c>
      <c r="BI113" s="78">
        <f t="shared" si="44"/>
        <v>100</v>
      </c>
      <c r="BJ113" s="53">
        <f t="shared" si="45"/>
        <v>2.1158854166666305</v>
      </c>
      <c r="BK113" s="53">
        <f t="shared" si="46"/>
        <v>-6.3802083333332087</v>
      </c>
      <c r="BL113" s="53">
        <f t="shared" si="47"/>
        <v>7.1614583333331865</v>
      </c>
      <c r="BM113" s="53">
        <f t="shared" si="48"/>
        <v>-1.9791666666666072</v>
      </c>
      <c r="BN113" s="53">
        <f t="shared" si="49"/>
        <v>1.2999999999999985</v>
      </c>
      <c r="BS113" s="53">
        <f t="shared" si="50"/>
        <v>2.6411961176460039</v>
      </c>
      <c r="BT113" s="53">
        <f t="shared" si="51"/>
        <v>114</v>
      </c>
      <c r="BU113" s="53">
        <f t="shared" si="37"/>
        <v>151.37942875978004</v>
      </c>
      <c r="BV113" s="53">
        <f t="shared" si="38"/>
        <v>-545.10443874658597</v>
      </c>
      <c r="BW113" s="53">
        <f t="shared" si="39"/>
        <v>731.04733036184086</v>
      </c>
      <c r="BX113" s="53">
        <f t="shared" si="40"/>
        <v>-427.57206795512724</v>
      </c>
      <c r="BY113" s="53">
        <f t="shared" si="41"/>
        <v>92.890943697738336</v>
      </c>
    </row>
    <row r="114" spans="1:77" x14ac:dyDescent="0.25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3"/>
      <c r="AK114" s="53"/>
      <c r="AL114" s="53"/>
      <c r="AM114" s="53"/>
      <c r="AN114" s="53"/>
      <c r="AX114" s="123">
        <f t="shared" si="31"/>
        <v>105.21376015624998</v>
      </c>
      <c r="AY114" s="78">
        <f t="shared" si="42"/>
        <v>102</v>
      </c>
      <c r="AZ114" s="53">
        <f t="shared" si="32"/>
        <v>-1.7617710937499316</v>
      </c>
      <c r="BA114" s="53">
        <f t="shared" si="33"/>
        <v>15.199593749999776</v>
      </c>
      <c r="BB114" s="53">
        <f t="shared" si="34"/>
        <v>-19.236562499999771</v>
      </c>
      <c r="BC114" s="53">
        <f t="shared" si="35"/>
        <v>41.012499999999925</v>
      </c>
      <c r="BD114" s="53">
        <f t="shared" si="36"/>
        <v>69.999999999999986</v>
      </c>
      <c r="BH114" s="123">
        <f t="shared" si="43"/>
        <v>2.2516055468750005</v>
      </c>
      <c r="BI114" s="78">
        <f t="shared" si="44"/>
        <v>102</v>
      </c>
      <c r="BJ114" s="53">
        <f t="shared" si="45"/>
        <v>2.2903024218749608</v>
      </c>
      <c r="BK114" s="53">
        <f t="shared" si="46"/>
        <v>-6.7707281249998674</v>
      </c>
      <c r="BL114" s="53">
        <f t="shared" si="47"/>
        <v>7.4507812499998476</v>
      </c>
      <c r="BM114" s="53">
        <f t="shared" si="48"/>
        <v>-2.0187499999999394</v>
      </c>
      <c r="BN114" s="53">
        <f t="shared" si="49"/>
        <v>1.2999999999999985</v>
      </c>
      <c r="BS114" s="53">
        <f t="shared" si="50"/>
        <v>2.6830112311115357</v>
      </c>
      <c r="BT114" s="53">
        <f t="shared" si="51"/>
        <v>115</v>
      </c>
      <c r="BU114" s="53">
        <f t="shared" si="37"/>
        <v>156.76128620007535</v>
      </c>
      <c r="BV114" s="53">
        <f t="shared" si="38"/>
        <v>-559.57549237735361</v>
      </c>
      <c r="BW114" s="53">
        <f t="shared" si="39"/>
        <v>743.92897384082369</v>
      </c>
      <c r="BX114" s="53">
        <f t="shared" si="40"/>
        <v>-431.32270013017222</v>
      </c>
      <c r="BY114" s="53">
        <f t="shared" si="41"/>
        <v>92.890943697738336</v>
      </c>
    </row>
    <row r="115" spans="1:77" x14ac:dyDescent="0.25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X115" s="123">
        <f t="shared" si="31"/>
        <v>106.0256</v>
      </c>
      <c r="AY115" s="78">
        <f t="shared" si="42"/>
        <v>104</v>
      </c>
      <c r="AZ115" s="53">
        <f t="shared" si="32"/>
        <v>-1.9040666666665929</v>
      </c>
      <c r="BA115" s="53">
        <f t="shared" si="33"/>
        <v>16.111333333333096</v>
      </c>
      <c r="BB115" s="53">
        <f t="shared" si="34"/>
        <v>-19.998333333333093</v>
      </c>
      <c r="BC115" s="53">
        <f t="shared" si="35"/>
        <v>41.816666666666592</v>
      </c>
      <c r="BD115" s="53">
        <f t="shared" si="36"/>
        <v>69.999999999999986</v>
      </c>
      <c r="BH115" s="123">
        <f t="shared" si="43"/>
        <v>2.2859200000000004</v>
      </c>
      <c r="BI115" s="78">
        <f t="shared" si="44"/>
        <v>104</v>
      </c>
      <c r="BJ115" s="53">
        <f t="shared" si="45"/>
        <v>2.4752866666666247</v>
      </c>
      <c r="BK115" s="53">
        <f t="shared" si="46"/>
        <v>-7.176866666666526</v>
      </c>
      <c r="BL115" s="53">
        <f t="shared" si="47"/>
        <v>7.7458333333331746</v>
      </c>
      <c r="BM115" s="53">
        <f t="shared" si="48"/>
        <v>-2.0583333333332714</v>
      </c>
      <c r="BN115" s="53">
        <f t="shared" si="49"/>
        <v>1.2999999999999985</v>
      </c>
      <c r="BS115" s="53">
        <f t="shared" si="50"/>
        <v>2.725700759293872</v>
      </c>
      <c r="BT115" s="53">
        <f t="shared" si="51"/>
        <v>116</v>
      </c>
      <c r="BU115" s="53">
        <f t="shared" si="37"/>
        <v>162.28538629755113</v>
      </c>
      <c r="BV115" s="53">
        <f t="shared" si="38"/>
        <v>-574.30041768708259</v>
      </c>
      <c r="BW115" s="53">
        <f t="shared" si="39"/>
        <v>756.92312075630423</v>
      </c>
      <c r="BX115" s="53">
        <f t="shared" si="40"/>
        <v>-435.07333230521721</v>
      </c>
      <c r="BY115" s="53">
        <f t="shared" si="41"/>
        <v>92.890943697738336</v>
      </c>
    </row>
    <row r="116" spans="1:77" x14ac:dyDescent="0.25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  <c r="AD116" s="53"/>
      <c r="AE116" s="53"/>
      <c r="AF116" s="53"/>
      <c r="AG116" s="53"/>
      <c r="AH116" s="53"/>
      <c r="AI116" s="53"/>
      <c r="AJ116" s="53"/>
      <c r="AK116" s="53"/>
      <c r="AL116" s="53"/>
      <c r="AM116" s="53"/>
      <c r="AN116" s="53"/>
      <c r="AX116" s="123">
        <f t="shared" si="31"/>
        <v>106.84994765624998</v>
      </c>
      <c r="AY116" s="78">
        <f t="shared" si="42"/>
        <v>106</v>
      </c>
      <c r="AZ116" s="53">
        <f t="shared" si="32"/>
        <v>-2.0548127604165871</v>
      </c>
      <c r="BA116" s="53">
        <f t="shared" si="33"/>
        <v>17.058822916666415</v>
      </c>
      <c r="BB116" s="53">
        <f t="shared" si="34"/>
        <v>-20.774895833333083</v>
      </c>
      <c r="BC116" s="53">
        <f t="shared" si="35"/>
        <v>42.620833333333259</v>
      </c>
      <c r="BD116" s="53">
        <f t="shared" si="36"/>
        <v>69.999999999999986</v>
      </c>
      <c r="BH116" s="123">
        <f t="shared" si="43"/>
        <v>2.3210242968749997</v>
      </c>
      <c r="BI116" s="78">
        <f t="shared" si="44"/>
        <v>106</v>
      </c>
      <c r="BJ116" s="53">
        <f t="shared" si="45"/>
        <v>2.6712565885416213</v>
      </c>
      <c r="BK116" s="53">
        <f t="shared" si="46"/>
        <v>-7.5989302083331847</v>
      </c>
      <c r="BL116" s="53">
        <f t="shared" si="47"/>
        <v>8.0466145833331684</v>
      </c>
      <c r="BM116" s="53">
        <f t="shared" si="48"/>
        <v>-2.0979166666666038</v>
      </c>
      <c r="BN116" s="53">
        <f t="shared" si="49"/>
        <v>1.2999999999999985</v>
      </c>
      <c r="BS116" s="53">
        <f t="shared" si="50"/>
        <v>2.7695416319959207</v>
      </c>
      <c r="BT116" s="53">
        <f t="shared" si="51"/>
        <v>117</v>
      </c>
      <c r="BU116" s="53">
        <f t="shared" si="37"/>
        <v>167.95421356182729</v>
      </c>
      <c r="BV116" s="53">
        <f t="shared" si="38"/>
        <v>-589.28142225558997</v>
      </c>
      <c r="BW116" s="53">
        <f t="shared" si="39"/>
        <v>770.02977110828249</v>
      </c>
      <c r="BX116" s="53">
        <f t="shared" si="40"/>
        <v>-438.82396448026219</v>
      </c>
      <c r="BY116" s="53">
        <f t="shared" si="41"/>
        <v>92.890943697738336</v>
      </c>
    </row>
    <row r="117" spans="1:77" x14ac:dyDescent="0.25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X117" s="123">
        <f t="shared" si="31"/>
        <v>107.6871625</v>
      </c>
      <c r="AY117" s="78">
        <f t="shared" si="42"/>
        <v>108</v>
      </c>
      <c r="AZ117" s="53">
        <f t="shared" si="32"/>
        <v>-2.2143374999999139</v>
      </c>
      <c r="BA117" s="53">
        <f t="shared" si="33"/>
        <v>18.042749999999735</v>
      </c>
      <c r="BB117" s="53">
        <f t="shared" si="34"/>
        <v>-21.566249999999741</v>
      </c>
      <c r="BC117" s="53">
        <f t="shared" si="35"/>
        <v>43.424999999999926</v>
      </c>
      <c r="BD117" s="53">
        <f t="shared" si="36"/>
        <v>69.999999999999986</v>
      </c>
      <c r="BH117" s="123">
        <f t="shared" si="43"/>
        <v>2.3570387499999983</v>
      </c>
      <c r="BI117" s="78">
        <f t="shared" si="44"/>
        <v>108</v>
      </c>
      <c r="BJ117" s="53">
        <f t="shared" si="45"/>
        <v>2.8786387499999511</v>
      </c>
      <c r="BK117" s="53">
        <f t="shared" si="46"/>
        <v>-8.0372249999998431</v>
      </c>
      <c r="BL117" s="53">
        <f t="shared" si="47"/>
        <v>8.353124999999828</v>
      </c>
      <c r="BM117" s="53">
        <f t="shared" si="48"/>
        <v>-2.1374999999999358</v>
      </c>
      <c r="BN117" s="53">
        <f t="shared" si="49"/>
        <v>1.2999999999999985</v>
      </c>
      <c r="BS117" s="53">
        <f t="shared" si="50"/>
        <v>2.8148322899263434</v>
      </c>
      <c r="BT117" s="53">
        <f t="shared" si="51"/>
        <v>118</v>
      </c>
      <c r="BU117" s="53">
        <f t="shared" si="37"/>
        <v>173.77027401342963</v>
      </c>
      <c r="BV117" s="53">
        <f t="shared" si="38"/>
        <v>-604.52071366269286</v>
      </c>
      <c r="BW117" s="53">
        <f t="shared" si="39"/>
        <v>783.24892489675835</v>
      </c>
      <c r="BX117" s="53">
        <f t="shared" si="40"/>
        <v>-442.57459665530712</v>
      </c>
      <c r="BY117" s="53">
        <f t="shared" si="41"/>
        <v>92.890943697738336</v>
      </c>
    </row>
    <row r="118" spans="1:77" x14ac:dyDescent="0.25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X118" s="123">
        <f t="shared" si="31"/>
        <v>108.53759765624999</v>
      </c>
      <c r="AY118" s="78">
        <f t="shared" si="42"/>
        <v>110</v>
      </c>
      <c r="AZ118" s="53">
        <f t="shared" si="32"/>
        <v>-2.3829752604165741</v>
      </c>
      <c r="BA118" s="53">
        <f t="shared" si="33"/>
        <v>19.063802083333055</v>
      </c>
      <c r="BB118" s="53">
        <f t="shared" si="34"/>
        <v>-22.372395833333066</v>
      </c>
      <c r="BC118" s="53">
        <f t="shared" si="35"/>
        <v>44.229166666666586</v>
      </c>
      <c r="BD118" s="53">
        <f t="shared" si="36"/>
        <v>69.999999999999986</v>
      </c>
      <c r="BH118" s="123">
        <f t="shared" si="43"/>
        <v>2.3940917968750011</v>
      </c>
      <c r="BI118" s="78">
        <f t="shared" si="44"/>
        <v>110</v>
      </c>
      <c r="BJ118" s="53">
        <f t="shared" si="45"/>
        <v>3.0978678385416138</v>
      </c>
      <c r="BK118" s="53">
        <f t="shared" si="46"/>
        <v>-8.4920572916664998</v>
      </c>
      <c r="BL118" s="53">
        <f t="shared" si="47"/>
        <v>8.6653645833331563</v>
      </c>
      <c r="BM118" s="53">
        <f t="shared" si="48"/>
        <v>-2.1770833333332678</v>
      </c>
      <c r="BN118" s="53">
        <f t="shared" si="49"/>
        <v>1.2999999999999985</v>
      </c>
      <c r="BS118" s="53">
        <f t="shared" si="50"/>
        <v>2.8618926846994981</v>
      </c>
      <c r="BT118" s="53">
        <f t="shared" si="51"/>
        <v>119</v>
      </c>
      <c r="BU118" s="53">
        <f t="shared" si="37"/>
        <v>179.73609518378964</v>
      </c>
      <c r="BV118" s="53">
        <f t="shared" si="38"/>
        <v>-620.02049948820832</v>
      </c>
      <c r="BW118" s="53">
        <f t="shared" si="39"/>
        <v>796.58058212173194</v>
      </c>
      <c r="BX118" s="53">
        <f t="shared" si="40"/>
        <v>-446.3252288303521</v>
      </c>
      <c r="BY118" s="53">
        <f t="shared" si="41"/>
        <v>92.890943697738336</v>
      </c>
    </row>
    <row r="119" spans="1:77" x14ac:dyDescent="0.25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X119" s="123">
        <f t="shared" si="31"/>
        <v>109.40159999999999</v>
      </c>
      <c r="AY119" s="78">
        <f t="shared" si="42"/>
        <v>112</v>
      </c>
      <c r="AZ119" s="53">
        <f t="shared" si="32"/>
        <v>-2.5610666666665671</v>
      </c>
      <c r="BA119" s="53">
        <f t="shared" si="33"/>
        <v>20.122666666666372</v>
      </c>
      <c r="BB119" s="53">
        <f t="shared" si="34"/>
        <v>-23.193333333333054</v>
      </c>
      <c r="BC119" s="53">
        <f t="shared" si="35"/>
        <v>45.033333333333253</v>
      </c>
      <c r="BD119" s="53">
        <f t="shared" si="36"/>
        <v>69.999999999999986</v>
      </c>
      <c r="BH119" s="123">
        <f t="shared" si="43"/>
        <v>2.4323199999999994</v>
      </c>
      <c r="BI119" s="78">
        <f t="shared" si="44"/>
        <v>112</v>
      </c>
      <c r="BJ119" s="53">
        <f t="shared" si="45"/>
        <v>3.3293866666666099</v>
      </c>
      <c r="BK119" s="53">
        <f t="shared" si="46"/>
        <v>-8.9637333333331579</v>
      </c>
      <c r="BL119" s="53">
        <f t="shared" si="47"/>
        <v>8.9833333333331495</v>
      </c>
      <c r="BM119" s="53">
        <f t="shared" si="48"/>
        <v>-2.2166666666666002</v>
      </c>
      <c r="BN119" s="53">
        <f t="shared" si="49"/>
        <v>1.2999999999999985</v>
      </c>
      <c r="BS119" s="53">
        <f t="shared" si="50"/>
        <v>2.9110642788357808</v>
      </c>
      <c r="BT119" s="53">
        <f t="shared" si="51"/>
        <v>120</v>
      </c>
      <c r="BU119" s="53">
        <f t="shared" si="37"/>
        <v>185.85422611524473</v>
      </c>
      <c r="BV119" s="53">
        <f t="shared" si="38"/>
        <v>-635.78298731195332</v>
      </c>
      <c r="BW119" s="53">
        <f t="shared" si="39"/>
        <v>810.02474278320312</v>
      </c>
      <c r="BX119" s="53">
        <f t="shared" si="40"/>
        <v>-450.07586100539709</v>
      </c>
      <c r="BY119" s="53">
        <f t="shared" si="41"/>
        <v>92.890943697738336</v>
      </c>
    </row>
    <row r="120" spans="1:77" s="53" customFormat="1" x14ac:dyDescent="0.25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P120" s="65"/>
      <c r="AX120" s="123">
        <f t="shared" si="31"/>
        <v>110.27951015624998</v>
      </c>
      <c r="AY120" s="78">
        <f t="shared" si="42"/>
        <v>114</v>
      </c>
      <c r="AZ120" s="53">
        <f t="shared" si="32"/>
        <v>-2.7489585937498933</v>
      </c>
      <c r="BA120" s="53">
        <f t="shared" si="33"/>
        <v>21.220031249999689</v>
      </c>
      <c r="BB120" s="53">
        <f t="shared" si="34"/>
        <v>-24.029062499999711</v>
      </c>
      <c r="BC120" s="53">
        <f t="shared" si="35"/>
        <v>45.83749999999992</v>
      </c>
      <c r="BD120" s="53">
        <f t="shared" si="36"/>
        <v>69.999999999999986</v>
      </c>
      <c r="BH120" s="123">
        <f t="shared" si="43"/>
        <v>2.4718680468750001</v>
      </c>
      <c r="BI120" s="78">
        <f t="shared" si="44"/>
        <v>114</v>
      </c>
      <c r="BJ120" s="53">
        <f t="shared" si="45"/>
        <v>3.5736461718749393</v>
      </c>
      <c r="BK120" s="53">
        <f t="shared" si="46"/>
        <v>-9.4525593749998151</v>
      </c>
      <c r="BL120" s="53">
        <f t="shared" si="47"/>
        <v>9.3070312499998096</v>
      </c>
      <c r="BM120" s="53">
        <f t="shared" si="48"/>
        <v>-2.2562499999999321</v>
      </c>
      <c r="BN120" s="53">
        <f t="shared" si="49"/>
        <v>1.2999999999999985</v>
      </c>
      <c r="BS120" s="53">
        <f t="shared" si="50"/>
        <v>2.9627100457613409</v>
      </c>
      <c r="BT120" s="53">
        <f t="shared" si="51"/>
        <v>121</v>
      </c>
      <c r="BU120" s="53">
        <f t="shared" si="37"/>
        <v>192.127237361038</v>
      </c>
      <c r="BV120" s="53">
        <f t="shared" si="38"/>
        <v>-651.81038471374495</v>
      </c>
      <c r="BW120" s="53">
        <f t="shared" si="39"/>
        <v>823.58140688117203</v>
      </c>
      <c r="BX120" s="53">
        <f t="shared" si="40"/>
        <v>-453.82649318044207</v>
      </c>
      <c r="BY120" s="53">
        <f t="shared" si="41"/>
        <v>92.890943697738336</v>
      </c>
    </row>
    <row r="121" spans="1:77" s="53" customFormat="1" x14ac:dyDescent="0.25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P121" s="65"/>
      <c r="AX121" s="123">
        <f t="shared" si="31"/>
        <v>111.1716625</v>
      </c>
      <c r="AY121" s="78">
        <f t="shared" si="42"/>
        <v>116</v>
      </c>
      <c r="AZ121" s="53">
        <f t="shared" si="32"/>
        <v>-2.9470041666665523</v>
      </c>
      <c r="BA121" s="53">
        <f t="shared" si="33"/>
        <v>22.356583333333006</v>
      </c>
      <c r="BB121" s="53">
        <f t="shared" si="34"/>
        <v>-24.879583333333034</v>
      </c>
      <c r="BC121" s="53">
        <f t="shared" si="35"/>
        <v>46.641666666666588</v>
      </c>
      <c r="BD121" s="53">
        <f t="shared" si="36"/>
        <v>69.999999999999986</v>
      </c>
      <c r="BH121" s="123">
        <f t="shared" si="43"/>
        <v>2.512888750000001</v>
      </c>
      <c r="BI121" s="78">
        <f t="shared" si="44"/>
        <v>116</v>
      </c>
      <c r="BJ121" s="53">
        <f t="shared" si="45"/>
        <v>3.8311054166666016</v>
      </c>
      <c r="BK121" s="53">
        <f t="shared" si="46"/>
        <v>-9.958841666666471</v>
      </c>
      <c r="BL121" s="53">
        <f t="shared" si="47"/>
        <v>9.6364583333331364</v>
      </c>
      <c r="BM121" s="53">
        <f t="shared" si="48"/>
        <v>-2.2958333333332646</v>
      </c>
      <c r="BN121" s="53">
        <f t="shared" si="49"/>
        <v>1.2999999999999985</v>
      </c>
      <c r="BS121" s="53">
        <f t="shared" si="50"/>
        <v>3.0172144698077972</v>
      </c>
      <c r="BT121" s="53">
        <f t="shared" si="51"/>
        <v>122</v>
      </c>
      <c r="BU121" s="53">
        <f t="shared" si="37"/>
        <v>198.55772098531838</v>
      </c>
      <c r="BV121" s="53">
        <f t="shared" si="38"/>
        <v>-668.10489927340041</v>
      </c>
      <c r="BW121" s="53">
        <f t="shared" si="39"/>
        <v>837.25057441563854</v>
      </c>
      <c r="BX121" s="53">
        <f t="shared" si="40"/>
        <v>-457.57712535548706</v>
      </c>
      <c r="BY121" s="53">
        <f t="shared" si="41"/>
        <v>92.890943697738336</v>
      </c>
    </row>
    <row r="122" spans="1:77" s="53" customFormat="1" x14ac:dyDescent="0.25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P122" s="65"/>
      <c r="AX122" s="123">
        <f t="shared" si="31"/>
        <v>112.07838515624999</v>
      </c>
      <c r="AY122" s="78">
        <f t="shared" si="42"/>
        <v>118</v>
      </c>
      <c r="AZ122" s="53">
        <f t="shared" si="32"/>
        <v>-3.1555627604165442</v>
      </c>
      <c r="BA122" s="53">
        <f t="shared" si="33"/>
        <v>23.533010416666322</v>
      </c>
      <c r="BB122" s="53">
        <f t="shared" si="34"/>
        <v>-25.744895833333025</v>
      </c>
      <c r="BC122" s="53">
        <f t="shared" si="35"/>
        <v>47.445833333333248</v>
      </c>
      <c r="BD122" s="53">
        <f t="shared" si="36"/>
        <v>69.999999999999986</v>
      </c>
      <c r="BH122" s="123">
        <f t="shared" si="43"/>
        <v>2.5555430468749982</v>
      </c>
      <c r="BI122" s="78">
        <f t="shared" si="44"/>
        <v>118</v>
      </c>
      <c r="BJ122" s="53">
        <f t="shared" si="45"/>
        <v>4.1022315885415965</v>
      </c>
      <c r="BK122" s="53">
        <f t="shared" si="46"/>
        <v>-10.482886458333128</v>
      </c>
      <c r="BL122" s="53">
        <f t="shared" si="47"/>
        <v>9.9716145833331282</v>
      </c>
      <c r="BM122" s="53">
        <f t="shared" si="48"/>
        <v>-2.3354166666665965</v>
      </c>
      <c r="BN122" s="53">
        <f t="shared" si="49"/>
        <v>1.2999999999999985</v>
      </c>
      <c r="BS122" s="53">
        <f t="shared" si="50"/>
        <v>3.074983546213204</v>
      </c>
      <c r="BT122" s="53">
        <f t="shared" si="51"/>
        <v>123</v>
      </c>
      <c r="BU122" s="53">
        <f t="shared" si="37"/>
        <v>205.14829056314065</v>
      </c>
      <c r="BV122" s="53">
        <f t="shared" si="38"/>
        <v>-684.66873857073654</v>
      </c>
      <c r="BW122" s="53">
        <f t="shared" si="39"/>
        <v>851.03224538660277</v>
      </c>
      <c r="BX122" s="53">
        <f t="shared" si="40"/>
        <v>-461.32775753053204</v>
      </c>
      <c r="BY122" s="53">
        <f t="shared" si="41"/>
        <v>92.890943697738336</v>
      </c>
    </row>
    <row r="123" spans="1:77" s="53" customFormat="1" x14ac:dyDescent="0.25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P123" s="65"/>
      <c r="AX123" s="123">
        <f t="shared" si="31"/>
        <v>112.99999999999999</v>
      </c>
      <c r="AY123" s="78">
        <f t="shared" si="42"/>
        <v>120</v>
      </c>
      <c r="AZ123" s="53">
        <f t="shared" si="32"/>
        <v>-3.374999999999869</v>
      </c>
      <c r="BA123" s="53">
        <f t="shared" si="33"/>
        <v>24.749999999999638</v>
      </c>
      <c r="BB123" s="53">
        <f t="shared" si="34"/>
        <v>-26.62499999999968</v>
      </c>
      <c r="BC123" s="53">
        <f t="shared" si="35"/>
        <v>48.249999999999915</v>
      </c>
      <c r="BD123" s="53">
        <f t="shared" si="36"/>
        <v>69.999999999999986</v>
      </c>
      <c r="BH123" s="123">
        <f t="shared" si="43"/>
        <v>2.6000000000000005</v>
      </c>
      <c r="BI123" s="78">
        <f t="shared" si="44"/>
        <v>120</v>
      </c>
      <c r="BJ123" s="53">
        <f t="shared" si="45"/>
        <v>4.3874999999999256</v>
      </c>
      <c r="BK123" s="53">
        <f t="shared" si="46"/>
        <v>-11.024999999999784</v>
      </c>
      <c r="BL123" s="53">
        <f t="shared" si="47"/>
        <v>10.312499999999789</v>
      </c>
      <c r="BM123" s="53">
        <f t="shared" si="48"/>
        <v>-2.3749999999999285</v>
      </c>
      <c r="BN123" s="53">
        <f t="shared" si="49"/>
        <v>1.2999999999999985</v>
      </c>
      <c r="BS123" s="53">
        <f t="shared" si="50"/>
        <v>3.1364447811209146</v>
      </c>
      <c r="BT123" s="53">
        <f t="shared" si="51"/>
        <v>124</v>
      </c>
      <c r="BU123" s="53">
        <f t="shared" si="37"/>
        <v>211.90158118046534</v>
      </c>
      <c r="BV123" s="53">
        <f t="shared" si="38"/>
        <v>-701.50411018557043</v>
      </c>
      <c r="BW123" s="53">
        <f t="shared" si="39"/>
        <v>864.92641979406471</v>
      </c>
      <c r="BX123" s="53">
        <f t="shared" si="40"/>
        <v>-465.07838970557702</v>
      </c>
      <c r="BY123" s="53">
        <f t="shared" si="41"/>
        <v>92.890943697738336</v>
      </c>
    </row>
    <row r="124" spans="1:77" s="53" customFormat="1" x14ac:dyDescent="0.25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P124" s="65"/>
      <c r="AX124" s="123">
        <f t="shared" si="31"/>
        <v>113.93682265624999</v>
      </c>
      <c r="AY124" s="78">
        <f t="shared" si="42"/>
        <v>122</v>
      </c>
      <c r="AZ124" s="53">
        <f t="shared" si="32"/>
        <v>-3.6056877604165267</v>
      </c>
      <c r="BA124" s="53">
        <f t="shared" si="33"/>
        <v>26.008239583332951</v>
      </c>
      <c r="BB124" s="53">
        <f t="shared" si="34"/>
        <v>-27.519895833333003</v>
      </c>
      <c r="BC124" s="53">
        <f t="shared" si="35"/>
        <v>49.054166666666582</v>
      </c>
      <c r="BD124" s="53">
        <f t="shared" si="36"/>
        <v>69.999999999999986</v>
      </c>
      <c r="BH124" s="123">
        <f t="shared" si="43"/>
        <v>2.6464367968749989</v>
      </c>
      <c r="BI124" s="78">
        <f t="shared" si="44"/>
        <v>122</v>
      </c>
      <c r="BJ124" s="53">
        <f t="shared" si="45"/>
        <v>4.6873940885415868</v>
      </c>
      <c r="BK124" s="53">
        <f t="shared" si="46"/>
        <v>-11.585488541666439</v>
      </c>
      <c r="BL124" s="53">
        <f t="shared" si="47"/>
        <v>10.659114583333114</v>
      </c>
      <c r="BM124" s="53">
        <f t="shared" si="48"/>
        <v>-2.4145833333332609</v>
      </c>
      <c r="BN124" s="53">
        <f t="shared" si="49"/>
        <v>1.2999999999999985</v>
      </c>
      <c r="BS124" s="53">
        <f t="shared" si="50"/>
        <v>3.2020471915801494</v>
      </c>
      <c r="BT124" s="53">
        <f t="shared" si="51"/>
        <v>125</v>
      </c>
      <c r="BU124" s="53">
        <f t="shared" si="37"/>
        <v>218.8202494341588</v>
      </c>
      <c r="BV124" s="53">
        <f t="shared" si="38"/>
        <v>-718.61322169771927</v>
      </c>
      <c r="BW124" s="53">
        <f t="shared" si="39"/>
        <v>878.93309763802426</v>
      </c>
      <c r="BX124" s="53">
        <f t="shared" si="40"/>
        <v>-468.82902188062195</v>
      </c>
      <c r="BY124" s="53">
        <f t="shared" si="41"/>
        <v>92.890943697738336</v>
      </c>
    </row>
    <row r="125" spans="1:77" s="53" customFormat="1" x14ac:dyDescent="0.25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P125" s="65"/>
      <c r="AX125" s="123">
        <f t="shared" si="31"/>
        <v>114.8891625</v>
      </c>
      <c r="AY125" s="78">
        <f t="shared" si="42"/>
        <v>124</v>
      </c>
      <c r="AZ125" s="53">
        <f t="shared" si="32"/>
        <v>-3.8480041666665175</v>
      </c>
      <c r="BA125" s="53">
        <f t="shared" si="33"/>
        <v>27.308416666666265</v>
      </c>
      <c r="BB125" s="53">
        <f t="shared" si="34"/>
        <v>-28.429583333332992</v>
      </c>
      <c r="BC125" s="53">
        <f t="shared" si="35"/>
        <v>49.858333333333249</v>
      </c>
      <c r="BD125" s="53">
        <f t="shared" si="36"/>
        <v>69.999999999999986</v>
      </c>
      <c r="BH125" s="123">
        <f t="shared" si="43"/>
        <v>2.6950387499999997</v>
      </c>
      <c r="BI125" s="78">
        <f t="shared" si="44"/>
        <v>124</v>
      </c>
      <c r="BJ125" s="53">
        <f t="shared" si="45"/>
        <v>5.0024054166665817</v>
      </c>
      <c r="BK125" s="53">
        <f t="shared" si="46"/>
        <v>-12.164658333333096</v>
      </c>
      <c r="BL125" s="53">
        <f t="shared" si="47"/>
        <v>11.011458333333108</v>
      </c>
      <c r="BM125" s="53">
        <f t="shared" si="48"/>
        <v>-2.4541666666665929</v>
      </c>
      <c r="BN125" s="53">
        <f t="shared" si="49"/>
        <v>1.2999999999999985</v>
      </c>
      <c r="BS125" s="53">
        <f t="shared" si="50"/>
        <v>3.2722613055460528</v>
      </c>
      <c r="BT125" s="53">
        <f t="shared" si="51"/>
        <v>126</v>
      </c>
      <c r="BU125" s="53">
        <f t="shared" si="37"/>
        <v>225.90697343199318</v>
      </c>
      <c r="BV125" s="53">
        <f t="shared" si="38"/>
        <v>-735.99828068699992</v>
      </c>
      <c r="BW125" s="53">
        <f t="shared" si="39"/>
        <v>893.05227891848142</v>
      </c>
      <c r="BX125" s="53">
        <f t="shared" si="40"/>
        <v>-472.57965405566694</v>
      </c>
      <c r="BY125" s="53">
        <f t="shared" si="41"/>
        <v>92.890943697738336</v>
      </c>
    </row>
    <row r="126" spans="1:77" s="53" customFormat="1" x14ac:dyDescent="0.25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P126" s="65"/>
      <c r="AV126" s="79"/>
      <c r="AX126" s="123">
        <f t="shared" si="31"/>
        <v>115.85732265624998</v>
      </c>
      <c r="AY126" s="78">
        <f t="shared" si="42"/>
        <v>126</v>
      </c>
      <c r="AZ126" s="53">
        <f t="shared" si="32"/>
        <v>-4.1023335937498411</v>
      </c>
      <c r="BA126" s="53">
        <f t="shared" si="33"/>
        <v>28.651218749999579</v>
      </c>
      <c r="BB126" s="53">
        <f t="shared" si="34"/>
        <v>-29.35406249999965</v>
      </c>
      <c r="BC126" s="53">
        <f t="shared" si="35"/>
        <v>50.662499999999909</v>
      </c>
      <c r="BD126" s="53">
        <f t="shared" si="36"/>
        <v>69.999999999999986</v>
      </c>
      <c r="BH126" s="123">
        <f t="shared" si="43"/>
        <v>2.7459992968749996</v>
      </c>
      <c r="BI126" s="78">
        <f t="shared" si="44"/>
        <v>126</v>
      </c>
      <c r="BJ126" s="53">
        <f t="shared" si="45"/>
        <v>5.333033671874909</v>
      </c>
      <c r="BK126" s="53">
        <f t="shared" si="46"/>
        <v>-12.76281562499975</v>
      </c>
      <c r="BL126" s="53">
        <f t="shared" si="47"/>
        <v>11.369531249999767</v>
      </c>
      <c r="BM126" s="53">
        <f t="shared" si="48"/>
        <v>-2.4937499999999253</v>
      </c>
      <c r="BN126" s="53">
        <f t="shared" si="49"/>
        <v>1.2999999999999985</v>
      </c>
      <c r="BS126" s="53">
        <f t="shared" si="50"/>
        <v>3.3475791618794659</v>
      </c>
      <c r="BT126" s="53">
        <f t="shared" si="51"/>
        <v>127</v>
      </c>
      <c r="BU126" s="53">
        <f t="shared" si="37"/>
        <v>233.16445279264644</v>
      </c>
      <c r="BV126" s="53">
        <f t="shared" si="38"/>
        <v>-753.66149473322969</v>
      </c>
      <c r="BW126" s="53">
        <f t="shared" si="39"/>
        <v>907.28396363543629</v>
      </c>
      <c r="BX126" s="53">
        <f t="shared" si="40"/>
        <v>-476.33028623071192</v>
      </c>
      <c r="BY126" s="53">
        <f t="shared" si="41"/>
        <v>92.890943697738336</v>
      </c>
    </row>
    <row r="127" spans="1:77" s="53" customFormat="1" x14ac:dyDescent="0.25"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P127" s="65"/>
      <c r="AV127" s="79"/>
      <c r="AX127" s="123">
        <f t="shared" si="31"/>
        <v>116.84159999999999</v>
      </c>
      <c r="AY127" s="78">
        <f t="shared" si="42"/>
        <v>128</v>
      </c>
      <c r="AZ127" s="53">
        <f t="shared" si="32"/>
        <v>-4.3690666666664972</v>
      </c>
      <c r="BA127" s="53">
        <f t="shared" si="33"/>
        <v>30.037333333332892</v>
      </c>
      <c r="BB127" s="53">
        <f t="shared" si="34"/>
        <v>-30.293333333332971</v>
      </c>
      <c r="BC127" s="53">
        <f t="shared" si="35"/>
        <v>51.466666666666576</v>
      </c>
      <c r="BD127" s="53">
        <f t="shared" si="36"/>
        <v>69.999999999999986</v>
      </c>
      <c r="BH127" s="123">
        <f t="shared" si="43"/>
        <v>2.7995199999999993</v>
      </c>
      <c r="BI127" s="78">
        <f t="shared" si="44"/>
        <v>128</v>
      </c>
      <c r="BJ127" s="53">
        <f t="shared" si="45"/>
        <v>5.6797866666665699</v>
      </c>
      <c r="BK127" s="53">
        <f t="shared" si="46"/>
        <v>-13.380266666666405</v>
      </c>
      <c r="BL127" s="53">
        <f t="shared" si="47"/>
        <v>11.733333333333093</v>
      </c>
      <c r="BM127" s="53">
        <f t="shared" si="48"/>
        <v>-2.5333333333332573</v>
      </c>
      <c r="BN127" s="53">
        <f t="shared" si="49"/>
        <v>1.2999999999999985</v>
      </c>
      <c r="BS127" s="53">
        <f t="shared" si="50"/>
        <v>3.428514310347154</v>
      </c>
      <c r="BT127" s="53">
        <f t="shared" si="51"/>
        <v>128</v>
      </c>
      <c r="BU127" s="53">
        <f t="shared" si="37"/>
        <v>240.59540864570229</v>
      </c>
      <c r="BV127" s="53">
        <f t="shared" si="38"/>
        <v>-771.60507141622543</v>
      </c>
      <c r="BW127" s="53">
        <f t="shared" si="39"/>
        <v>921.62815178888889</v>
      </c>
      <c r="BX127" s="53">
        <f t="shared" si="40"/>
        <v>-480.0809184057569</v>
      </c>
      <c r="BY127" s="53">
        <f t="shared" si="41"/>
        <v>92.890943697738336</v>
      </c>
    </row>
    <row r="128" spans="1:77" s="53" customFormat="1" x14ac:dyDescent="0.25"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P128" s="65"/>
      <c r="AV128" s="79"/>
      <c r="AX128" s="123">
        <f t="shared" si="31"/>
        <v>117.84228515624999</v>
      </c>
      <c r="AY128" s="78">
        <f t="shared" si="42"/>
        <v>130</v>
      </c>
      <c r="AZ128" s="53">
        <f t="shared" si="32"/>
        <v>-4.6486002604164867</v>
      </c>
      <c r="BA128" s="53">
        <f t="shared" si="33"/>
        <v>31.467447916666206</v>
      </c>
      <c r="BB128" s="53">
        <f t="shared" si="34"/>
        <v>-31.247395833332959</v>
      </c>
      <c r="BC128" s="53">
        <f t="shared" si="35"/>
        <v>52.270833333333243</v>
      </c>
      <c r="BD128" s="53">
        <f t="shared" si="36"/>
        <v>69.999999999999986</v>
      </c>
      <c r="BH128" s="123">
        <f t="shared" si="43"/>
        <v>2.8558105468750004</v>
      </c>
      <c r="BI128" s="78">
        <f t="shared" si="44"/>
        <v>130</v>
      </c>
      <c r="BJ128" s="53">
        <f t="shared" si="45"/>
        <v>6.0431803385415641</v>
      </c>
      <c r="BK128" s="53">
        <f t="shared" si="46"/>
        <v>-14.017317708333058</v>
      </c>
      <c r="BL128" s="53">
        <f t="shared" si="47"/>
        <v>12.102864583333085</v>
      </c>
      <c r="BM128" s="53">
        <f t="shared" si="48"/>
        <v>-2.5729166666665892</v>
      </c>
      <c r="BN128" s="53">
        <f t="shared" si="49"/>
        <v>1.2999999999999985</v>
      </c>
      <c r="BS128" s="53">
        <f t="shared" si="50"/>
        <v>3.5156018116216359</v>
      </c>
      <c r="BT128" s="53">
        <f t="shared" si="51"/>
        <v>129</v>
      </c>
      <c r="BU128" s="53">
        <f t="shared" si="37"/>
        <v>248.2025836316503</v>
      </c>
      <c r="BV128" s="53">
        <f t="shared" si="38"/>
        <v>-789.83121831580422</v>
      </c>
      <c r="BW128" s="53">
        <f t="shared" si="39"/>
        <v>936.08484337883908</v>
      </c>
      <c r="BX128" s="53">
        <f t="shared" si="40"/>
        <v>-483.83155058080189</v>
      </c>
      <c r="BY128" s="53">
        <f t="shared" si="41"/>
        <v>92.890943697738336</v>
      </c>
    </row>
    <row r="129" spans="1:77" s="53" customFormat="1" x14ac:dyDescent="0.25">
      <c r="A129" s="80"/>
      <c r="B129" s="53" t="s">
        <v>33</v>
      </c>
      <c r="C129" s="53" t="s">
        <v>12</v>
      </c>
      <c r="D129" s="53" t="s">
        <v>13</v>
      </c>
      <c r="E129" s="53" t="s">
        <v>15</v>
      </c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P129" s="65"/>
      <c r="AV129" s="79"/>
      <c r="AX129" s="123">
        <f t="shared" si="31"/>
        <v>118.85966249999998</v>
      </c>
      <c r="AY129" s="78">
        <f t="shared" si="42"/>
        <v>132</v>
      </c>
      <c r="AZ129" s="53">
        <f t="shared" si="32"/>
        <v>-4.9413374999998085</v>
      </c>
      <c r="BA129" s="53">
        <f t="shared" si="33"/>
        <v>32.942249999999518</v>
      </c>
      <c r="BB129" s="53">
        <f t="shared" si="34"/>
        <v>-32.216249999999611</v>
      </c>
      <c r="BC129" s="53">
        <f t="shared" si="35"/>
        <v>53.074999999999903</v>
      </c>
      <c r="BD129" s="53">
        <f t="shared" si="36"/>
        <v>69.999999999999986</v>
      </c>
      <c r="BH129" s="123">
        <f t="shared" si="43"/>
        <v>2.9150887499999993</v>
      </c>
      <c r="BI129" s="78">
        <f t="shared" si="44"/>
        <v>132</v>
      </c>
      <c r="BJ129" s="53">
        <f t="shared" si="45"/>
        <v>6.4237387499998908</v>
      </c>
      <c r="BK129" s="53">
        <f t="shared" si="46"/>
        <v>-14.674274999999712</v>
      </c>
      <c r="BL129" s="53">
        <f t="shared" si="47"/>
        <v>12.478124999999745</v>
      </c>
      <c r="BM129" s="53">
        <f t="shared" si="48"/>
        <v>-2.6124999999999217</v>
      </c>
      <c r="BN129" s="53">
        <f t="shared" si="49"/>
        <v>1.2999999999999985</v>
      </c>
      <c r="BS129" s="53">
        <f t="shared" si="50"/>
        <v>3.60939823728107</v>
      </c>
      <c r="BT129" s="53">
        <f t="shared" si="51"/>
        <v>130</v>
      </c>
      <c r="BU129" s="53">
        <f t="shared" si="37"/>
        <v>255.98874190188585</v>
      </c>
      <c r="BV129" s="53">
        <f t="shared" si="38"/>
        <v>-808.34214301178326</v>
      </c>
      <c r="BW129" s="53">
        <f t="shared" si="39"/>
        <v>950.654038405287</v>
      </c>
      <c r="BX129" s="53">
        <f t="shared" si="40"/>
        <v>-487.58218275584687</v>
      </c>
      <c r="BY129" s="53">
        <f t="shared" si="41"/>
        <v>92.890943697738336</v>
      </c>
    </row>
    <row r="130" spans="1:77" s="53" customFormat="1" x14ac:dyDescent="0.25">
      <c r="A130" s="61">
        <f>Start!E13</f>
        <v>0.125</v>
      </c>
      <c r="B130" s="53">
        <f>IF(Start!E18&gt;0,Start!E18,"")</f>
        <v>70</v>
      </c>
      <c r="C130" s="55">
        <f>IF(Start!E16&gt;0,Start!E16,"")</f>
        <v>120</v>
      </c>
      <c r="D130" s="55">
        <f>IF(Start!E17&gt;0,Start!E17,"")</f>
        <v>80</v>
      </c>
      <c r="E130" s="79">
        <f>IF(Start!E19&gt;0,Start!E19,"")</f>
        <v>1.3</v>
      </c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P130" s="65"/>
      <c r="AV130" s="79"/>
      <c r="AX130" s="123">
        <f t="shared" si="31"/>
        <v>119.89401015624998</v>
      </c>
      <c r="AY130" s="78">
        <f t="shared" si="42"/>
        <v>134</v>
      </c>
      <c r="AZ130" s="53">
        <f t="shared" si="32"/>
        <v>-5.2476877604164631</v>
      </c>
      <c r="BA130" s="53">
        <f t="shared" si="33"/>
        <v>34.462427083332827</v>
      </c>
      <c r="BB130" s="53">
        <f t="shared" si="34"/>
        <v>-33.199895833332938</v>
      </c>
      <c r="BC130" s="53">
        <f t="shared" si="35"/>
        <v>53.879166666666571</v>
      </c>
      <c r="BD130" s="53">
        <f t="shared" si="36"/>
        <v>69.999999999999986</v>
      </c>
      <c r="BH130" s="123">
        <f t="shared" si="43"/>
        <v>2.9775805468749978</v>
      </c>
      <c r="BI130" s="78">
        <f t="shared" si="44"/>
        <v>134</v>
      </c>
      <c r="BJ130" s="53">
        <f t="shared" si="45"/>
        <v>6.8219940885415502</v>
      </c>
      <c r="BK130" s="53">
        <f t="shared" si="46"/>
        <v>-15.351444791666365</v>
      </c>
      <c r="BL130" s="53">
        <f t="shared" si="47"/>
        <v>12.859114583333069</v>
      </c>
      <c r="BM130" s="53">
        <f t="shared" si="48"/>
        <v>-2.6520833333332536</v>
      </c>
      <c r="BN130" s="53">
        <f t="shared" si="49"/>
        <v>1.2999999999999985</v>
      </c>
      <c r="BS130" s="53">
        <f t="shared" si="50"/>
        <v>3.7104816698095959</v>
      </c>
      <c r="BT130" s="53">
        <f t="shared" si="51"/>
        <v>131</v>
      </c>
      <c r="BU130" s="53">
        <f t="shared" si="37"/>
        <v>263.95666911871001</v>
      </c>
      <c r="BV130" s="53">
        <f t="shared" si="38"/>
        <v>-827.14005308397941</v>
      </c>
      <c r="BW130" s="53">
        <f t="shared" si="39"/>
        <v>965.33573686823252</v>
      </c>
      <c r="BX130" s="53">
        <f t="shared" si="40"/>
        <v>-491.33281493089186</v>
      </c>
      <c r="BY130" s="53">
        <f t="shared" si="41"/>
        <v>92.890943697738336</v>
      </c>
    </row>
    <row r="131" spans="1:77" s="53" customFormat="1" x14ac:dyDescent="0.25">
      <c r="A131" s="61">
        <f>A130+Start!$E$13</f>
        <v>0.25</v>
      </c>
      <c r="B131" s="53">
        <f>IF(Start!E24&gt;0,Start!E24,"")</f>
        <v>84</v>
      </c>
      <c r="C131" s="55">
        <f>IF(Start!E22&gt;0,Start!E22,"")</f>
        <v>130</v>
      </c>
      <c r="D131" s="55">
        <f>IF(Start!E23&gt;0,Start!E23,"")</f>
        <v>80</v>
      </c>
      <c r="E131" s="79">
        <f>IF(Start!E25&gt;0,Start!E25,"")</f>
        <v>1.3</v>
      </c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P131" s="65"/>
      <c r="AV131" s="79"/>
      <c r="AX131" s="123">
        <f t="shared" si="31"/>
        <v>120.94559999999998</v>
      </c>
      <c r="AY131" s="78">
        <f t="shared" si="42"/>
        <v>136</v>
      </c>
      <c r="AZ131" s="53">
        <f t="shared" si="32"/>
        <v>-5.5680666666664509</v>
      </c>
      <c r="BA131" s="53">
        <f t="shared" si="33"/>
        <v>36.02866666666614</v>
      </c>
      <c r="BB131" s="53">
        <f t="shared" si="34"/>
        <v>-34.198333333332926</v>
      </c>
      <c r="BC131" s="53">
        <f t="shared" si="35"/>
        <v>54.683333333333238</v>
      </c>
      <c r="BD131" s="53">
        <f t="shared" si="36"/>
        <v>69.999999999999986</v>
      </c>
      <c r="BH131" s="123">
        <f t="shared" si="43"/>
        <v>3.0435199999999991</v>
      </c>
      <c r="BI131" s="78">
        <f t="shared" si="44"/>
        <v>136</v>
      </c>
      <c r="BJ131" s="53">
        <f t="shared" si="45"/>
        <v>7.2384866666665433</v>
      </c>
      <c r="BK131" s="53">
        <f t="shared" si="46"/>
        <v>-16.049133333333018</v>
      </c>
      <c r="BL131" s="53">
        <f t="shared" si="47"/>
        <v>13.245833333333062</v>
      </c>
      <c r="BM131" s="53">
        <f t="shared" si="48"/>
        <v>-2.691666666666586</v>
      </c>
      <c r="BN131" s="53">
        <f t="shared" si="49"/>
        <v>1.2999999999999985</v>
      </c>
      <c r="BS131" s="53">
        <f t="shared" si="50"/>
        <v>3.8194517025972772</v>
      </c>
      <c r="BT131" s="53">
        <f t="shared" si="51"/>
        <v>132</v>
      </c>
      <c r="BU131" s="53">
        <f t="shared" si="37"/>
        <v>272.10917245532983</v>
      </c>
      <c r="BV131" s="53">
        <f t="shared" si="38"/>
        <v>-846.22715611220985</v>
      </c>
      <c r="BW131" s="53">
        <f t="shared" si="39"/>
        <v>980.12993876767575</v>
      </c>
      <c r="BX131" s="53">
        <f t="shared" si="40"/>
        <v>-495.08344710593678</v>
      </c>
      <c r="BY131" s="53">
        <f t="shared" si="41"/>
        <v>92.890943697738336</v>
      </c>
    </row>
    <row r="132" spans="1:77" s="53" customFormat="1" x14ac:dyDescent="0.25">
      <c r="A132" s="61">
        <f>A131+Start!$E$13</f>
        <v>0.375</v>
      </c>
      <c r="B132" s="53">
        <f>IF(Start!E30&gt;0,Start!E30,"")</f>
        <v>97</v>
      </c>
      <c r="C132" s="55">
        <f>IF(Start!E28&gt;0,Start!E28,"")</f>
        <v>140</v>
      </c>
      <c r="D132" s="55">
        <f>IF(Start!E29&gt;0,Start!E29,"")</f>
        <v>80</v>
      </c>
      <c r="E132" s="79">
        <f>IF(Start!E31&gt;0,Start!E31,"")</f>
        <v>1.9</v>
      </c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P132" s="65"/>
      <c r="AV132" s="79"/>
      <c r="AX132" s="123">
        <f t="shared" si="31"/>
        <v>122.01469765624999</v>
      </c>
      <c r="AY132" s="78">
        <f t="shared" si="42"/>
        <v>138</v>
      </c>
      <c r="AZ132" s="53">
        <f t="shared" si="32"/>
        <v>-5.9028960937497708</v>
      </c>
      <c r="BA132" s="53">
        <f t="shared" si="33"/>
        <v>37.64165624999945</v>
      </c>
      <c r="BB132" s="53">
        <f t="shared" si="34"/>
        <v>-35.21156249999958</v>
      </c>
      <c r="BC132" s="53">
        <f t="shared" si="35"/>
        <v>55.487499999999905</v>
      </c>
      <c r="BD132" s="53">
        <f t="shared" si="36"/>
        <v>69.999999999999986</v>
      </c>
      <c r="BH132" s="123">
        <f t="shared" si="43"/>
        <v>3.1131492968750001</v>
      </c>
      <c r="BI132" s="78">
        <f t="shared" si="44"/>
        <v>138</v>
      </c>
      <c r="BJ132" s="53">
        <f t="shared" si="45"/>
        <v>7.6737649218748691</v>
      </c>
      <c r="BK132" s="53">
        <f t="shared" si="46"/>
        <v>-16.76764687499967</v>
      </c>
      <c r="BL132" s="53">
        <f t="shared" si="47"/>
        <v>13.63828124999972</v>
      </c>
      <c r="BM132" s="53">
        <f t="shared" si="48"/>
        <v>-2.731249999999918</v>
      </c>
      <c r="BN132" s="53">
        <f t="shared" si="49"/>
        <v>1.2999999999999985</v>
      </c>
      <c r="BS132" s="53">
        <f t="shared" si="50"/>
        <v>3.9369294399395329</v>
      </c>
      <c r="BT132" s="53">
        <f t="shared" si="51"/>
        <v>133</v>
      </c>
      <c r="BU132" s="53">
        <f t="shared" si="37"/>
        <v>280.44908059585794</v>
      </c>
      <c r="BV132" s="53">
        <f t="shared" si="38"/>
        <v>-865.60565967629168</v>
      </c>
      <c r="BW132" s="53">
        <f t="shared" si="39"/>
        <v>995.03664410361671</v>
      </c>
      <c r="BX132" s="53">
        <f t="shared" si="40"/>
        <v>-498.83407928098177</v>
      </c>
      <c r="BY132" s="53">
        <f t="shared" si="41"/>
        <v>92.890943697738336</v>
      </c>
    </row>
    <row r="133" spans="1:77" s="53" customFormat="1" x14ac:dyDescent="0.25">
      <c r="A133" s="61">
        <f>A132+Start!$E$13</f>
        <v>0.5</v>
      </c>
      <c r="B133" s="53">
        <f>IF(Start!E36&gt;0,Start!E36,"")</f>
        <v>113</v>
      </c>
      <c r="C133" s="55">
        <f>IF(Start!E34&gt;0,Start!E34,"")</f>
        <v>160</v>
      </c>
      <c r="D133" s="55">
        <f>IF(Start!E35&gt;0,Start!E35,"")</f>
        <v>85</v>
      </c>
      <c r="E133" s="79">
        <f>IF(Start!E37&gt;0,Start!E37,"")</f>
        <v>2.6</v>
      </c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P133" s="65"/>
      <c r="AV133" s="79"/>
      <c r="AX133" s="123">
        <f t="shared" si="31"/>
        <v>123.10156249999997</v>
      </c>
      <c r="AY133" s="78">
        <f t="shared" si="42"/>
        <v>140</v>
      </c>
      <c r="AZ133" s="53">
        <f t="shared" si="32"/>
        <v>-6.2526041666664245</v>
      </c>
      <c r="BA133" s="53">
        <f t="shared" si="33"/>
        <v>39.302083333332753</v>
      </c>
      <c r="BB133" s="53">
        <f t="shared" si="34"/>
        <v>-36.239583333332902</v>
      </c>
      <c r="BC133" s="53">
        <f t="shared" si="35"/>
        <v>56.291666666666565</v>
      </c>
      <c r="BD133" s="53">
        <f t="shared" si="36"/>
        <v>69.999999999999986</v>
      </c>
      <c r="BH133" s="123">
        <f t="shared" si="43"/>
        <v>3.1867187500000007</v>
      </c>
      <c r="BI133" s="78">
        <f t="shared" si="44"/>
        <v>140</v>
      </c>
      <c r="BJ133" s="53">
        <f t="shared" si="45"/>
        <v>8.1283854166665286</v>
      </c>
      <c r="BK133" s="53">
        <f t="shared" si="46"/>
        <v>-17.507291666666323</v>
      </c>
      <c r="BL133" s="53">
        <f t="shared" si="47"/>
        <v>14.036458333333046</v>
      </c>
      <c r="BM133" s="53">
        <f t="shared" si="48"/>
        <v>-2.77083333333325</v>
      </c>
      <c r="BN133" s="53">
        <f t="shared" si="49"/>
        <v>1.2999999999999985</v>
      </c>
      <c r="BS133" s="53">
        <f t="shared" si="50"/>
        <v>4.0635574970381612</v>
      </c>
      <c r="BT133" s="53">
        <f t="shared" si="51"/>
        <v>134</v>
      </c>
      <c r="BU133" s="53">
        <f t="shared" si="37"/>
        <v>288.97924373531299</v>
      </c>
      <c r="BV133" s="53">
        <f t="shared" si="38"/>
        <v>-885.27777135604174</v>
      </c>
      <c r="BW133" s="53">
        <f t="shared" si="39"/>
        <v>1010.0558528760553</v>
      </c>
      <c r="BX133" s="53">
        <f t="shared" si="40"/>
        <v>-502.58471145602675</v>
      </c>
      <c r="BY133" s="53">
        <f t="shared" si="41"/>
        <v>92.890943697738336</v>
      </c>
    </row>
    <row r="134" spans="1:77" s="53" customFormat="1" x14ac:dyDescent="0.25">
      <c r="A134" s="61">
        <f>A133+Start!$E$13</f>
        <v>0.625</v>
      </c>
      <c r="B134" s="53">
        <f>IF(Start!E42&gt;0,Start!E42,"")</f>
        <v>135</v>
      </c>
      <c r="C134" s="55">
        <f>IF(Start!E40&gt;0,Start!E40,"")</f>
        <v>180</v>
      </c>
      <c r="D134" s="55">
        <f>IF(Start!E41&gt;0,Start!E41,"")</f>
        <v>90</v>
      </c>
      <c r="E134" s="79">
        <f>IF(Start!E43&gt;0,Start!E43,"")</f>
        <v>4.2</v>
      </c>
      <c r="AP134" s="65"/>
      <c r="AX134" s="123">
        <f t="shared" si="31"/>
        <v>124.20644765624999</v>
      </c>
      <c r="AY134" s="78">
        <f t="shared" si="42"/>
        <v>142</v>
      </c>
      <c r="AZ134" s="53">
        <f t="shared" si="32"/>
        <v>-6.6176252604164096</v>
      </c>
      <c r="BA134" s="53">
        <f t="shared" si="33"/>
        <v>41.010635416666062</v>
      </c>
      <c r="BB134" s="53">
        <f t="shared" si="34"/>
        <v>-37.282395833332885</v>
      </c>
      <c r="BC134" s="53">
        <f t="shared" si="35"/>
        <v>57.095833333333232</v>
      </c>
      <c r="BD134" s="53">
        <f t="shared" si="36"/>
        <v>69.999999999999986</v>
      </c>
      <c r="BH134" s="123">
        <f t="shared" si="43"/>
        <v>3.2644867968749982</v>
      </c>
      <c r="BI134" s="78">
        <f t="shared" si="44"/>
        <v>142</v>
      </c>
      <c r="BJ134" s="53">
        <f t="shared" si="45"/>
        <v>8.6029128385415206</v>
      </c>
      <c r="BK134" s="53">
        <f t="shared" si="46"/>
        <v>-18.268373958332976</v>
      </c>
      <c r="BL134" s="53">
        <f t="shared" si="47"/>
        <v>14.440364583333038</v>
      </c>
      <c r="BM134" s="53">
        <f t="shared" si="48"/>
        <v>-2.8104166666665824</v>
      </c>
      <c r="BN134" s="53">
        <f t="shared" si="49"/>
        <v>1.2999999999999985</v>
      </c>
      <c r="BS134" s="53">
        <f t="shared" si="50"/>
        <v>4.2000000000000881</v>
      </c>
      <c r="BT134" s="53">
        <f t="shared" si="51"/>
        <v>135</v>
      </c>
      <c r="BU134" s="53">
        <f t="shared" si="37"/>
        <v>297.70253357961928</v>
      </c>
      <c r="BV134" s="53">
        <f t="shared" si="38"/>
        <v>-905.24569873127734</v>
      </c>
      <c r="BW134" s="53">
        <f t="shared" si="39"/>
        <v>1025.1875650849915</v>
      </c>
      <c r="BX134" s="53">
        <f t="shared" si="40"/>
        <v>-506.33534363107174</v>
      </c>
      <c r="BY134" s="53">
        <f t="shared" si="41"/>
        <v>92.890943697738336</v>
      </c>
    </row>
    <row r="135" spans="1:77" s="53" customFormat="1" x14ac:dyDescent="0.25">
      <c r="A135" s="61">
        <f>A134+Start!$E$13</f>
        <v>0.75</v>
      </c>
      <c r="B135" s="53" t="str">
        <f>IF(Start!E48&gt;0,Start!E48,"")</f>
        <v/>
      </c>
      <c r="C135" s="55" t="str">
        <f>IF(Start!E46&gt;0,Start!E46,"")</f>
        <v/>
      </c>
      <c r="D135" s="55" t="str">
        <f>IF(Start!E47&gt;0,Start!E47,"")</f>
        <v/>
      </c>
      <c r="E135" s="79" t="str">
        <f>IF(Start!E49&gt;0,Start!E49,"")</f>
        <v/>
      </c>
      <c r="AP135" s="65"/>
      <c r="AX135" s="123">
        <f t="shared" si="31"/>
        <v>125.3296</v>
      </c>
      <c r="AY135" s="78">
        <f t="shared" si="42"/>
        <v>144</v>
      </c>
      <c r="AZ135" s="53">
        <f t="shared" si="32"/>
        <v>-6.9983999999997284</v>
      </c>
      <c r="BA135" s="53">
        <f t="shared" si="33"/>
        <v>42.767999999999375</v>
      </c>
      <c r="BB135" s="53">
        <f t="shared" si="34"/>
        <v>-38.339999999999542</v>
      </c>
      <c r="BC135" s="53">
        <f t="shared" si="35"/>
        <v>57.899999999999899</v>
      </c>
      <c r="BD135" s="53">
        <f t="shared" si="36"/>
        <v>69.999999999999986</v>
      </c>
      <c r="BH135" s="123">
        <f t="shared" si="43"/>
        <v>3.3467199999999973</v>
      </c>
      <c r="BI135" s="78">
        <f t="shared" si="44"/>
        <v>144</v>
      </c>
      <c r="BJ135" s="53">
        <f t="shared" si="45"/>
        <v>9.0979199999998457</v>
      </c>
      <c r="BK135" s="53">
        <f t="shared" si="46"/>
        <v>-19.051199999999628</v>
      </c>
      <c r="BL135" s="53">
        <f t="shared" si="47"/>
        <v>14.849999999999696</v>
      </c>
      <c r="BM135" s="53">
        <f t="shared" si="48"/>
        <v>-2.8499999999999144</v>
      </c>
      <c r="BN135" s="53">
        <f t="shared" si="49"/>
        <v>1.2999999999999985</v>
      </c>
      <c r="BS135" s="53">
        <f t="shared" si="50"/>
        <v>4.3469425858386757</v>
      </c>
      <c r="BT135" s="53">
        <f t="shared" si="51"/>
        <v>136</v>
      </c>
      <c r="BU135" s="53">
        <f t="shared" si="37"/>
        <v>306.62184334560703</v>
      </c>
      <c r="BV135" s="53">
        <f t="shared" si="38"/>
        <v>-925.51164938181535</v>
      </c>
      <c r="BW135" s="53">
        <f t="shared" si="39"/>
        <v>1040.4317807304253</v>
      </c>
      <c r="BX135" s="53">
        <f t="shared" si="40"/>
        <v>-510.08597580611672</v>
      </c>
      <c r="BY135" s="53">
        <f t="shared" si="41"/>
        <v>92.890943697738336</v>
      </c>
    </row>
    <row r="136" spans="1:77" s="53" customFormat="1" x14ac:dyDescent="0.25">
      <c r="A136" s="61">
        <f>A135+Start!$E$13</f>
        <v>0.875</v>
      </c>
      <c r="B136" s="53" t="str">
        <f>IF(Start!E49&gt;0,Start!E49,"")</f>
        <v/>
      </c>
      <c r="C136" s="55" t="str">
        <f>IF(Start!E52&gt;0,Start!E52,"")</f>
        <v/>
      </c>
      <c r="D136" s="55" t="str">
        <f>IF(Start!E53&gt;0,Start!E53,"")</f>
        <v/>
      </c>
      <c r="E136" s="79" t="str">
        <f>IF(Start!E55&gt;0,Start!E55,"")</f>
        <v/>
      </c>
      <c r="AP136" s="65"/>
      <c r="AX136" s="123">
        <f t="shared" si="31"/>
        <v>126.47126015625</v>
      </c>
      <c r="AY136" s="78">
        <f t="shared" si="42"/>
        <v>146</v>
      </c>
      <c r="AZ136" s="53">
        <f t="shared" si="32"/>
        <v>-7.3953752604163796</v>
      </c>
      <c r="BA136" s="53">
        <f t="shared" si="33"/>
        <v>44.574864583332676</v>
      </c>
      <c r="BB136" s="53">
        <f t="shared" si="34"/>
        <v>-39.412395833332859</v>
      </c>
      <c r="BC136" s="53">
        <f t="shared" si="35"/>
        <v>58.704166666666566</v>
      </c>
      <c r="BD136" s="53">
        <f t="shared" si="36"/>
        <v>69.999999999999986</v>
      </c>
      <c r="BH136" s="123">
        <f t="shared" si="43"/>
        <v>3.433693046874998</v>
      </c>
      <c r="BI136" s="78">
        <f t="shared" si="44"/>
        <v>146</v>
      </c>
      <c r="BJ136" s="53">
        <f t="shared" si="45"/>
        <v>9.6139878385415027</v>
      </c>
      <c r="BK136" s="53">
        <f t="shared" si="46"/>
        <v>-19.856076041666277</v>
      </c>
      <c r="BL136" s="53">
        <f t="shared" si="47"/>
        <v>15.265364583333021</v>
      </c>
      <c r="BM136" s="53">
        <f t="shared" si="48"/>
        <v>-2.8895833333332468</v>
      </c>
      <c r="BN136" s="53">
        <f t="shared" si="49"/>
        <v>1.2999999999999985</v>
      </c>
      <c r="BS136" s="53">
        <f t="shared" si="50"/>
        <v>4.5050924024726982</v>
      </c>
      <c r="BT136" s="53">
        <f t="shared" si="51"/>
        <v>137</v>
      </c>
      <c r="BU136" s="53">
        <f t="shared" si="37"/>
        <v>315.74008776101209</v>
      </c>
      <c r="BV136" s="53">
        <f t="shared" si="38"/>
        <v>-946.07783088747283</v>
      </c>
      <c r="BW136" s="53">
        <f t="shared" si="39"/>
        <v>1055.7884998123568</v>
      </c>
      <c r="BX136" s="53">
        <f t="shared" si="40"/>
        <v>-513.83660798116171</v>
      </c>
      <c r="BY136" s="53">
        <f t="shared" si="41"/>
        <v>92.890943697738336</v>
      </c>
    </row>
    <row r="137" spans="1:77" s="53" customFormat="1" x14ac:dyDescent="0.25">
      <c r="A137" s="53" t="s">
        <v>32</v>
      </c>
      <c r="B137" s="53">
        <f>IF(Start!E60="","",Start!E60)</f>
        <v>120</v>
      </c>
      <c r="C137" s="53">
        <f>IF(Start!E58="","",Start!E58)</f>
        <v>140</v>
      </c>
      <c r="D137" s="53">
        <f>IF(Start!E59="","",Start!E59)</f>
        <v>80</v>
      </c>
      <c r="E137" s="79" t="str">
        <f>IF(Start!E61&gt;0,Start!E61,"")</f>
        <v/>
      </c>
      <c r="AP137" s="65"/>
      <c r="AX137" s="123">
        <f t="shared" si="31"/>
        <v>127.63166249999998</v>
      </c>
      <c r="AY137" s="78">
        <f t="shared" si="42"/>
        <v>148</v>
      </c>
      <c r="AZ137" s="53">
        <f t="shared" si="32"/>
        <v>-7.8090041666663641</v>
      </c>
      <c r="BA137" s="53">
        <f t="shared" si="33"/>
        <v>46.431916666665984</v>
      </c>
      <c r="BB137" s="53">
        <f t="shared" si="34"/>
        <v>-40.499583333332851</v>
      </c>
      <c r="BC137" s="53">
        <f t="shared" si="35"/>
        <v>59.508333333333226</v>
      </c>
      <c r="BD137" s="53">
        <f t="shared" si="36"/>
        <v>69.999999999999986</v>
      </c>
      <c r="BH137" s="123">
        <f t="shared" si="43"/>
        <v>3.525688749999996</v>
      </c>
      <c r="BI137" s="78">
        <f t="shared" si="44"/>
        <v>148</v>
      </c>
      <c r="BJ137" s="53">
        <f t="shared" si="45"/>
        <v>10.151705416666493</v>
      </c>
      <c r="BK137" s="53">
        <f t="shared" si="46"/>
        <v>-20.683308333332928</v>
      </c>
      <c r="BL137" s="53">
        <f t="shared" si="47"/>
        <v>15.686458333333011</v>
      </c>
      <c r="BM137" s="53">
        <f t="shared" si="48"/>
        <v>-2.9291666666665788</v>
      </c>
      <c r="BN137" s="53">
        <f t="shared" si="49"/>
        <v>1.2999999999999985</v>
      </c>
      <c r="BS137" s="53">
        <f t="shared" si="50"/>
        <v>4.6751781087271382</v>
      </c>
      <c r="BT137" s="53">
        <f t="shared" si="51"/>
        <v>138</v>
      </c>
      <c r="BU137" s="53">
        <f t="shared" si="37"/>
        <v>325.06020306447624</v>
      </c>
      <c r="BV137" s="53">
        <f t="shared" si="38"/>
        <v>-966.94645082806699</v>
      </c>
      <c r="BW137" s="53">
        <f t="shared" si="39"/>
        <v>1071.2577223307862</v>
      </c>
      <c r="BX137" s="53">
        <f t="shared" si="40"/>
        <v>-517.58724015620669</v>
      </c>
      <c r="BY137" s="53">
        <f t="shared" si="41"/>
        <v>92.890943697738336</v>
      </c>
    </row>
    <row r="138" spans="1:77" s="53" customFormat="1" x14ac:dyDescent="0.25">
      <c r="A138" s="53" t="s">
        <v>31</v>
      </c>
      <c r="B138" s="53">
        <f>IF(Start!E66="","",Start!E66)</f>
        <v>90</v>
      </c>
      <c r="C138" s="53">
        <f>IF(Start!E64="","",Start!E64)</f>
        <v>120</v>
      </c>
      <c r="D138" s="53">
        <f>IF(Start!E65="","",Start!E65)</f>
        <v>70</v>
      </c>
      <c r="E138" s="79" t="str">
        <f>IF(Start!E67&gt;0,Start!E67,"")</f>
        <v/>
      </c>
      <c r="AP138" s="65"/>
      <c r="AX138" s="123">
        <f t="shared" si="31"/>
        <v>128.81103515625</v>
      </c>
      <c r="AY138" s="78">
        <f t="shared" si="42"/>
        <v>150</v>
      </c>
      <c r="AZ138" s="53">
        <f t="shared" si="32"/>
        <v>-8.2397460937496803</v>
      </c>
      <c r="BA138" s="53">
        <f t="shared" si="33"/>
        <v>48.339843749999289</v>
      </c>
      <c r="BB138" s="53">
        <f t="shared" si="34"/>
        <v>-41.601562499999503</v>
      </c>
      <c r="BC138" s="53">
        <f t="shared" si="35"/>
        <v>60.312499999999893</v>
      </c>
      <c r="BD138" s="53">
        <f t="shared" si="36"/>
        <v>69.999999999999986</v>
      </c>
      <c r="BH138" s="123">
        <f t="shared" si="43"/>
        <v>3.6229980468749972</v>
      </c>
      <c r="BI138" s="78">
        <f t="shared" si="44"/>
        <v>150</v>
      </c>
      <c r="BJ138" s="53">
        <f t="shared" si="45"/>
        <v>10.711669921874817</v>
      </c>
      <c r="BK138" s="53">
        <f t="shared" si="46"/>
        <v>-21.533203124999577</v>
      </c>
      <c r="BL138" s="53">
        <f t="shared" si="47"/>
        <v>16.11328124999967</v>
      </c>
      <c r="BM138" s="53">
        <f t="shared" si="48"/>
        <v>-2.9687499999999107</v>
      </c>
      <c r="BN138" s="53">
        <f t="shared" si="49"/>
        <v>1.2999999999999985</v>
      </c>
      <c r="BS138" s="53">
        <f t="shared" si="50"/>
        <v>4.8579498743318226</v>
      </c>
      <c r="BT138" s="53">
        <f t="shared" si="51"/>
        <v>139</v>
      </c>
      <c r="BU138" s="53">
        <f t="shared" si="37"/>
        <v>334.58514700554707</v>
      </c>
      <c r="BV138" s="53">
        <f t="shared" si="38"/>
        <v>-988.11971678341479</v>
      </c>
      <c r="BW138" s="53">
        <f t="shared" si="39"/>
        <v>1086.8394482857129</v>
      </c>
      <c r="BX138" s="53">
        <f t="shared" si="40"/>
        <v>-521.33787233125167</v>
      </c>
      <c r="BY138" s="53">
        <f t="shared" si="41"/>
        <v>92.890943697738336</v>
      </c>
    </row>
    <row r="139" spans="1:77" s="53" customFormat="1" x14ac:dyDescent="0.25">
      <c r="AP139" s="65"/>
      <c r="AX139" s="123">
        <f t="shared" si="31"/>
        <v>130.00959999999998</v>
      </c>
      <c r="AY139" s="78">
        <f t="shared" si="42"/>
        <v>152</v>
      </c>
      <c r="AZ139" s="53">
        <f t="shared" si="32"/>
        <v>-8.6880666666663302</v>
      </c>
      <c r="BA139" s="53">
        <f t="shared" si="33"/>
        <v>50.299333333332598</v>
      </c>
      <c r="BB139" s="53">
        <f t="shared" si="34"/>
        <v>-42.718333333332822</v>
      </c>
      <c r="BC139" s="53">
        <f t="shared" si="35"/>
        <v>61.116666666666561</v>
      </c>
      <c r="BD139" s="53">
        <f t="shared" si="36"/>
        <v>69.999999999999986</v>
      </c>
      <c r="BH139" s="123">
        <f t="shared" si="43"/>
        <v>3.7259199999999955</v>
      </c>
      <c r="BI139" s="78">
        <f t="shared" si="44"/>
        <v>152</v>
      </c>
      <c r="BJ139" s="53">
        <f t="shared" si="45"/>
        <v>11.294486666666474</v>
      </c>
      <c r="BK139" s="53">
        <f t="shared" si="46"/>
        <v>-22.406066666666227</v>
      </c>
      <c r="BL139" s="53">
        <f t="shared" si="47"/>
        <v>16.545833333332993</v>
      </c>
      <c r="BM139" s="53">
        <f t="shared" si="48"/>
        <v>-3.0083333333332432</v>
      </c>
      <c r="BN139" s="53">
        <f t="shared" si="49"/>
        <v>1.2999999999999985</v>
      </c>
      <c r="BS139" s="53">
        <f t="shared" si="50"/>
        <v>5.054179379923923</v>
      </c>
      <c r="BT139" s="53">
        <f t="shared" si="51"/>
        <v>140</v>
      </c>
      <c r="BU139" s="53">
        <f t="shared" si="37"/>
        <v>344.31789884467793</v>
      </c>
      <c r="BV139" s="53">
        <f t="shared" si="38"/>
        <v>-1009.5998363333333</v>
      </c>
      <c r="BW139" s="53">
        <f t="shared" si="39"/>
        <v>1102.5336776771376</v>
      </c>
      <c r="BX139" s="53">
        <f t="shared" si="40"/>
        <v>-525.08850450629666</v>
      </c>
      <c r="BY139" s="53">
        <f t="shared" si="41"/>
        <v>92.890943697738336</v>
      </c>
    </row>
    <row r="140" spans="1:77" s="53" customFormat="1" x14ac:dyDescent="0.25">
      <c r="AP140" s="65"/>
      <c r="AX140" s="123">
        <f t="shared" si="31"/>
        <v>131.22757265625</v>
      </c>
      <c r="AY140" s="78">
        <f t="shared" si="42"/>
        <v>154</v>
      </c>
      <c r="AZ140" s="53">
        <f t="shared" si="32"/>
        <v>-9.154437760416311</v>
      </c>
      <c r="BA140" s="53">
        <f t="shared" si="33"/>
        <v>52.3110729166659</v>
      </c>
      <c r="BB140" s="53">
        <f t="shared" si="34"/>
        <v>-43.849895833332809</v>
      </c>
      <c r="BC140" s="53">
        <f t="shared" si="35"/>
        <v>61.920833333333228</v>
      </c>
      <c r="BD140" s="53">
        <f t="shared" si="36"/>
        <v>69.999999999999986</v>
      </c>
      <c r="BH140" s="123">
        <f t="shared" si="43"/>
        <v>3.8347617968749979</v>
      </c>
      <c r="BI140" s="78">
        <f t="shared" si="44"/>
        <v>154</v>
      </c>
      <c r="BJ140" s="53">
        <f t="shared" si="45"/>
        <v>11.900769088541464</v>
      </c>
      <c r="BK140" s="53">
        <f t="shared" si="46"/>
        <v>-23.302205208332875</v>
      </c>
      <c r="BL140" s="53">
        <f t="shared" si="47"/>
        <v>16.984114583332985</v>
      </c>
      <c r="BM140" s="53">
        <f t="shared" si="48"/>
        <v>-3.0479166666665751</v>
      </c>
      <c r="BN140" s="53">
        <f t="shared" si="49"/>
        <v>1.2999999999999985</v>
      </c>
      <c r="BS140" s="53">
        <f t="shared" si="50"/>
        <v>5.2646598170450005</v>
      </c>
      <c r="BT140" s="53">
        <f t="shared" si="51"/>
        <v>141</v>
      </c>
      <c r="BU140" s="53">
        <f t="shared" si="37"/>
        <v>354.26145935322796</v>
      </c>
      <c r="BV140" s="53">
        <f t="shared" si="38"/>
        <v>-1031.3890170576394</v>
      </c>
      <c r="BW140" s="53">
        <f t="shared" si="39"/>
        <v>1118.3404105050597</v>
      </c>
      <c r="BX140" s="53">
        <f t="shared" si="40"/>
        <v>-528.83913668134164</v>
      </c>
      <c r="BY140" s="53">
        <f t="shared" si="41"/>
        <v>92.890943697738336</v>
      </c>
    </row>
    <row r="141" spans="1:77" x14ac:dyDescent="0.25">
      <c r="A141" s="65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  <c r="AB141" s="53"/>
      <c r="AC141" s="53"/>
      <c r="AD141" s="53"/>
      <c r="AE141" s="53"/>
      <c r="AF141" s="53"/>
      <c r="AG141" s="53"/>
      <c r="AH141" s="53"/>
      <c r="AI141" s="53"/>
      <c r="AJ141" s="53"/>
      <c r="AK141" s="53"/>
      <c r="AL141" s="53"/>
      <c r="AM141" s="53"/>
      <c r="AN141" s="53"/>
      <c r="AX141" s="123">
        <f t="shared" si="31"/>
        <v>132.46516249999999</v>
      </c>
      <c r="AY141" s="78">
        <f t="shared" si="42"/>
        <v>156</v>
      </c>
      <c r="AZ141" s="53">
        <f t="shared" si="32"/>
        <v>-9.6393374999996269</v>
      </c>
      <c r="BA141" s="53">
        <f t="shared" si="33"/>
        <v>54.375749999999201</v>
      </c>
      <c r="BB141" s="53">
        <f t="shared" si="34"/>
        <v>-44.996249999999463</v>
      </c>
      <c r="BC141" s="53">
        <f t="shared" si="35"/>
        <v>62.724999999999888</v>
      </c>
      <c r="BD141" s="53">
        <f t="shared" si="36"/>
        <v>69.999999999999986</v>
      </c>
      <c r="BH141" s="123">
        <f t="shared" si="43"/>
        <v>3.9498387499999947</v>
      </c>
      <c r="BI141" s="78">
        <f t="shared" si="44"/>
        <v>156</v>
      </c>
      <c r="BJ141" s="53">
        <f t="shared" si="45"/>
        <v>12.531138749999787</v>
      </c>
      <c r="BK141" s="53">
        <f t="shared" si="46"/>
        <v>-24.221924999999526</v>
      </c>
      <c r="BL141" s="53">
        <f t="shared" si="47"/>
        <v>17.428124999999643</v>
      </c>
      <c r="BM141" s="53">
        <f t="shared" si="48"/>
        <v>-3.0874999999999071</v>
      </c>
      <c r="BN141" s="53">
        <f t="shared" si="49"/>
        <v>1.2999999999999985</v>
      </c>
      <c r="BS141" s="53">
        <f t="shared" si="50"/>
        <v>5.4902058881431657</v>
      </c>
      <c r="BT141" s="53">
        <f t="shared" si="51"/>
        <v>142</v>
      </c>
      <c r="BU141" s="53">
        <f t="shared" si="37"/>
        <v>364.41885081346209</v>
      </c>
      <c r="BV141" s="53">
        <f t="shared" si="38"/>
        <v>-1053.4894665361505</v>
      </c>
      <c r="BW141" s="53">
        <f t="shared" si="39"/>
        <v>1134.2596467694798</v>
      </c>
      <c r="BX141" s="53">
        <f t="shared" si="40"/>
        <v>-532.58976885638651</v>
      </c>
      <c r="BY141" s="53">
        <f t="shared" si="41"/>
        <v>92.890943697738336</v>
      </c>
    </row>
    <row r="142" spans="1:77" x14ac:dyDescent="0.25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  <c r="AD142" s="53"/>
      <c r="AE142" s="53"/>
      <c r="AF142" s="53"/>
      <c r="AG142" s="53"/>
      <c r="AH142" s="53"/>
      <c r="AI142" s="53"/>
      <c r="AJ142" s="53"/>
      <c r="AK142" s="53"/>
      <c r="AL142" s="53"/>
      <c r="AM142" s="53"/>
      <c r="AN142" s="53"/>
      <c r="AX142" s="123">
        <f t="shared" si="31"/>
        <v>133.72257265625001</v>
      </c>
      <c r="AY142" s="78">
        <f t="shared" si="42"/>
        <v>158</v>
      </c>
      <c r="AZ142" s="53">
        <f t="shared" si="32"/>
        <v>-10.143250260416274</v>
      </c>
      <c r="BA142" s="53">
        <f t="shared" si="33"/>
        <v>56.494052083332505</v>
      </c>
      <c r="BB142" s="53">
        <f t="shared" si="34"/>
        <v>-46.157395833332778</v>
      </c>
      <c r="BC142" s="53">
        <f t="shared" si="35"/>
        <v>63.529166666666555</v>
      </c>
      <c r="BD142" s="53">
        <f t="shared" si="36"/>
        <v>69.999999999999986</v>
      </c>
      <c r="BH142" s="123">
        <f t="shared" si="43"/>
        <v>4.0714742968749951</v>
      </c>
      <c r="BI142" s="78">
        <f t="shared" si="44"/>
        <v>158</v>
      </c>
      <c r="BJ142" s="53">
        <f t="shared" si="45"/>
        <v>13.186225338541442</v>
      </c>
      <c r="BK142" s="53">
        <f t="shared" si="46"/>
        <v>-25.165532291666175</v>
      </c>
      <c r="BL142" s="53">
        <f t="shared" si="47"/>
        <v>17.877864583332968</v>
      </c>
      <c r="BM142" s="53">
        <f t="shared" si="48"/>
        <v>-3.1270833333332395</v>
      </c>
      <c r="BN142" s="53">
        <f t="shared" si="49"/>
        <v>1.2999999999999985</v>
      </c>
      <c r="BS142" s="53">
        <f t="shared" si="50"/>
        <v>5.731653806571714</v>
      </c>
      <c r="BT142" s="53">
        <f t="shared" si="51"/>
        <v>143</v>
      </c>
      <c r="BU142" s="53">
        <f t="shared" si="37"/>
        <v>374.79311701855107</v>
      </c>
      <c r="BV142" s="53">
        <f t="shared" si="38"/>
        <v>-1075.9033923486836</v>
      </c>
      <c r="BW142" s="53">
        <f t="shared" si="39"/>
        <v>1150.2913864703974</v>
      </c>
      <c r="BX142" s="53">
        <f t="shared" si="40"/>
        <v>-536.3404010314315</v>
      </c>
      <c r="BY142" s="53">
        <f t="shared" si="41"/>
        <v>92.890943697738336</v>
      </c>
    </row>
    <row r="143" spans="1:77" x14ac:dyDescent="0.25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  <c r="AC143" s="65"/>
      <c r="AD143" s="65"/>
      <c r="AE143" s="65"/>
      <c r="AF143" s="65"/>
      <c r="AG143" s="65"/>
      <c r="AH143" s="65"/>
      <c r="AI143" s="65"/>
      <c r="AJ143" s="65"/>
      <c r="AK143" s="65"/>
      <c r="AL143" s="65"/>
      <c r="AM143" s="65"/>
      <c r="AN143" s="65"/>
      <c r="AX143" s="123">
        <f t="shared" si="31"/>
        <v>135</v>
      </c>
      <c r="AY143" s="78">
        <f t="shared" si="42"/>
        <v>160</v>
      </c>
      <c r="AZ143" s="53">
        <f t="shared" si="32"/>
        <v>-10.666666666666252</v>
      </c>
      <c r="BA143" s="53">
        <f t="shared" si="33"/>
        <v>58.666666666665805</v>
      </c>
      <c r="BB143" s="53">
        <f t="shared" si="34"/>
        <v>-47.333333333332767</v>
      </c>
      <c r="BC143" s="53">
        <f t="shared" si="35"/>
        <v>64.333333333333215</v>
      </c>
      <c r="BD143" s="53">
        <f t="shared" si="36"/>
        <v>69.999999999999986</v>
      </c>
      <c r="BH143" s="123">
        <f t="shared" si="43"/>
        <v>4.1999999999999957</v>
      </c>
      <c r="BI143" s="78">
        <f t="shared" si="44"/>
        <v>160</v>
      </c>
      <c r="BJ143" s="53">
        <f t="shared" si="45"/>
        <v>13.866666666666431</v>
      </c>
      <c r="BK143" s="53">
        <f t="shared" si="46"/>
        <v>-26.133333333332821</v>
      </c>
      <c r="BL143" s="53">
        <f t="shared" si="47"/>
        <v>18.333333333332959</v>
      </c>
      <c r="BM143" s="53">
        <f t="shared" si="48"/>
        <v>-3.1666666666665715</v>
      </c>
      <c r="BN143" s="53">
        <f t="shared" si="49"/>
        <v>1.2999999999999985</v>
      </c>
      <c r="BS143" s="53">
        <f t="shared" si="50"/>
        <v>5.9898612965902629</v>
      </c>
      <c r="BT143" s="53">
        <f t="shared" si="51"/>
        <v>144</v>
      </c>
      <c r="BU143" s="53">
        <f t="shared" si="37"/>
        <v>385.38732327257145</v>
      </c>
      <c r="BV143" s="53">
        <f t="shared" si="38"/>
        <v>-1098.6330020750554</v>
      </c>
      <c r="BW143" s="53">
        <f t="shared" si="39"/>
        <v>1166.4356296078124</v>
      </c>
      <c r="BX143" s="53">
        <f t="shared" si="40"/>
        <v>-540.09103320647648</v>
      </c>
      <c r="BY143" s="53">
        <f t="shared" si="41"/>
        <v>92.890943697738336</v>
      </c>
    </row>
    <row r="144" spans="1:77" x14ac:dyDescent="0.25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X144" s="123">
        <f t="shared" si="31"/>
        <v>136.29763515625001</v>
      </c>
      <c r="AY144" s="78">
        <f t="shared" si="42"/>
        <v>162</v>
      </c>
      <c r="AZ144" s="53">
        <f t="shared" si="32"/>
        <v>-11.210083593749566</v>
      </c>
      <c r="BA144" s="53">
        <f t="shared" si="33"/>
        <v>60.894281249999104</v>
      </c>
      <c r="BB144" s="53">
        <f t="shared" si="34"/>
        <v>-48.524062499999417</v>
      </c>
      <c r="BC144" s="53">
        <f t="shared" si="35"/>
        <v>65.137499999999889</v>
      </c>
      <c r="BD144" s="53">
        <f t="shared" si="36"/>
        <v>69.999999999999986</v>
      </c>
      <c r="BH144" s="123">
        <f t="shared" si="43"/>
        <v>4.335755546874994</v>
      </c>
      <c r="BI144" s="78">
        <f t="shared" si="44"/>
        <v>162</v>
      </c>
      <c r="BJ144" s="53">
        <f t="shared" si="45"/>
        <v>14.573108671874753</v>
      </c>
      <c r="BK144" s="53">
        <f t="shared" si="46"/>
        <v>-27.125634374999468</v>
      </c>
      <c r="BL144" s="53">
        <f t="shared" si="47"/>
        <v>18.794531249999615</v>
      </c>
      <c r="BM144" s="53">
        <f t="shared" si="48"/>
        <v>-3.2062499999999039</v>
      </c>
      <c r="BN144" s="53">
        <f t="shared" si="49"/>
        <v>1.2999999999999985</v>
      </c>
      <c r="BS144" s="53">
        <f t="shared" si="50"/>
        <v>6.2657075933648656</v>
      </c>
      <c r="BT144" s="53">
        <f t="shared" si="51"/>
        <v>145</v>
      </c>
      <c r="BU144" s="53">
        <f t="shared" si="37"/>
        <v>396.20455639050567</v>
      </c>
      <c r="BV144" s="53">
        <f t="shared" si="38"/>
        <v>-1121.6805032950831</v>
      </c>
      <c r="BW144" s="53">
        <f t="shared" si="39"/>
        <v>1182.6923761817254</v>
      </c>
      <c r="BX144" s="53">
        <f t="shared" si="40"/>
        <v>-543.84166538152147</v>
      </c>
      <c r="BY144" s="53">
        <f t="shared" si="41"/>
        <v>92.890943697738336</v>
      </c>
    </row>
    <row r="145" spans="1:77" x14ac:dyDescent="0.25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65"/>
      <c r="AM145" s="65"/>
      <c r="AN145" s="65"/>
      <c r="AX145" s="123">
        <f t="shared" si="31"/>
        <v>137.61566249999998</v>
      </c>
      <c r="AY145" s="78">
        <f t="shared" si="42"/>
        <v>164</v>
      </c>
      <c r="AZ145" s="53">
        <f t="shared" si="32"/>
        <v>-11.774004166666209</v>
      </c>
      <c r="BA145" s="53">
        <f t="shared" si="33"/>
        <v>63.177583333332407</v>
      </c>
      <c r="BB145" s="53">
        <f t="shared" si="34"/>
        <v>-49.729583333332741</v>
      </c>
      <c r="BC145" s="53">
        <f t="shared" si="35"/>
        <v>65.941666666666549</v>
      </c>
      <c r="BD145" s="53">
        <f t="shared" si="36"/>
        <v>69.999999999999986</v>
      </c>
      <c r="BH145" s="123">
        <f t="shared" si="43"/>
        <v>4.4790887499999936</v>
      </c>
      <c r="BI145" s="78">
        <f t="shared" si="44"/>
        <v>164</v>
      </c>
      <c r="BJ145" s="53">
        <f t="shared" si="45"/>
        <v>15.306205416666407</v>
      </c>
      <c r="BK145" s="53">
        <f t="shared" si="46"/>
        <v>-28.142741666666115</v>
      </c>
      <c r="BL145" s="53">
        <f t="shared" si="47"/>
        <v>19.261458333332939</v>
      </c>
      <c r="BM145" s="53">
        <f t="shared" si="48"/>
        <v>-3.2458333333332359</v>
      </c>
      <c r="BN145" s="53">
        <f t="shared" si="49"/>
        <v>1.2999999999999985</v>
      </c>
      <c r="BS145" s="53">
        <f t="shared" si="50"/>
        <v>6.5600934429657372</v>
      </c>
      <c r="BT145" s="53">
        <f t="shared" si="51"/>
        <v>146</v>
      </c>
      <c r="BU145" s="53">
        <f t="shared" si="37"/>
        <v>407.24792469824177</v>
      </c>
      <c r="BV145" s="53">
        <f t="shared" si="38"/>
        <v>-1145.0481035885839</v>
      </c>
      <c r="BW145" s="53">
        <f t="shared" si="39"/>
        <v>1199.0616261921359</v>
      </c>
      <c r="BX145" s="53">
        <f t="shared" si="40"/>
        <v>-547.59229755656645</v>
      </c>
      <c r="BY145" s="53">
        <f t="shared" si="41"/>
        <v>92.890943697738336</v>
      </c>
    </row>
    <row r="146" spans="1:77" x14ac:dyDescent="0.25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X146" s="123">
        <f t="shared" si="31"/>
        <v>138.95426015624997</v>
      </c>
      <c r="AY146" s="78">
        <f t="shared" si="42"/>
        <v>166</v>
      </c>
      <c r="AZ146" s="53">
        <f t="shared" si="32"/>
        <v>-12.358937760416188</v>
      </c>
      <c r="BA146" s="53">
        <f t="shared" si="33"/>
        <v>65.517260416665707</v>
      </c>
      <c r="BB146" s="53">
        <f t="shared" si="34"/>
        <v>-50.949895833332725</v>
      </c>
      <c r="BC146" s="53">
        <f t="shared" si="35"/>
        <v>66.745833333333209</v>
      </c>
      <c r="BD146" s="53">
        <f t="shared" si="36"/>
        <v>69.999999999999986</v>
      </c>
      <c r="BH146" s="123">
        <f t="shared" si="43"/>
        <v>4.6303555468749913</v>
      </c>
      <c r="BI146" s="78">
        <f t="shared" si="44"/>
        <v>166</v>
      </c>
      <c r="BJ146" s="53">
        <f t="shared" si="45"/>
        <v>16.066619088541394</v>
      </c>
      <c r="BK146" s="53">
        <f t="shared" si="46"/>
        <v>-29.184961458332761</v>
      </c>
      <c r="BL146" s="53">
        <f t="shared" si="47"/>
        <v>19.734114583332929</v>
      </c>
      <c r="BM146" s="53">
        <f t="shared" si="48"/>
        <v>-3.2854166666665678</v>
      </c>
      <c r="BN146" s="53">
        <f t="shared" si="49"/>
        <v>1.2999999999999985</v>
      </c>
      <c r="BS146" s="53">
        <f t="shared" si="50"/>
        <v>6.8739411023697556</v>
      </c>
      <c r="BT146" s="53">
        <f t="shared" si="51"/>
        <v>147</v>
      </c>
      <c r="BU146" s="53">
        <f t="shared" si="37"/>
        <v>418.52055803257377</v>
      </c>
      <c r="BV146" s="53">
        <f t="shared" si="38"/>
        <v>-1168.738010535375</v>
      </c>
      <c r="BW146" s="53">
        <f t="shared" si="39"/>
        <v>1215.5433796390441</v>
      </c>
      <c r="BX146" s="53">
        <f t="shared" si="40"/>
        <v>-551.34292973161143</v>
      </c>
      <c r="BY146" s="53">
        <f t="shared" si="41"/>
        <v>92.890943697738336</v>
      </c>
    </row>
    <row r="147" spans="1:77" x14ac:dyDescent="0.25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X147" s="123">
        <f t="shared" si="31"/>
        <v>140.31360000000001</v>
      </c>
      <c r="AY147" s="78">
        <f t="shared" si="42"/>
        <v>168</v>
      </c>
      <c r="AZ147" s="53">
        <f t="shared" si="32"/>
        <v>-12.965399999999498</v>
      </c>
      <c r="BA147" s="53">
        <f t="shared" si="33"/>
        <v>67.913999999999007</v>
      </c>
      <c r="BB147" s="53">
        <f t="shared" si="34"/>
        <v>-52.184999999999377</v>
      </c>
      <c r="BC147" s="53">
        <f t="shared" si="35"/>
        <v>67.549999999999883</v>
      </c>
      <c r="BD147" s="53">
        <f t="shared" si="36"/>
        <v>69.999999999999986</v>
      </c>
      <c r="BH147" s="123">
        <f t="shared" si="43"/>
        <v>4.7899199999999889</v>
      </c>
      <c r="BI147" s="78">
        <f t="shared" si="44"/>
        <v>168</v>
      </c>
      <c r="BJ147" s="53">
        <f t="shared" si="45"/>
        <v>16.855019999999712</v>
      </c>
      <c r="BK147" s="53">
        <f t="shared" si="46"/>
        <v>-30.252599999999408</v>
      </c>
      <c r="BL147" s="53">
        <f t="shared" si="47"/>
        <v>20.212499999999586</v>
      </c>
      <c r="BM147" s="53">
        <f t="shared" si="48"/>
        <v>-3.3249999999999003</v>
      </c>
      <c r="BN147" s="53">
        <f t="shared" si="49"/>
        <v>1.2999999999999985</v>
      </c>
      <c r="BS147" s="53">
        <f t="shared" si="50"/>
        <v>7.2081943394602348</v>
      </c>
      <c r="BT147" s="53">
        <f t="shared" si="51"/>
        <v>148</v>
      </c>
      <c r="BU147" s="53">
        <f t="shared" si="37"/>
        <v>430.02560774120144</v>
      </c>
      <c r="BV147" s="53">
        <f t="shared" si="38"/>
        <v>-1192.7524317152731</v>
      </c>
      <c r="BW147" s="53">
        <f t="shared" si="39"/>
        <v>1232.1376365224501</v>
      </c>
      <c r="BX147" s="53">
        <f t="shared" si="40"/>
        <v>-555.09356190665642</v>
      </c>
      <c r="BY147" s="53">
        <f t="shared" si="41"/>
        <v>92.890943697738336</v>
      </c>
    </row>
    <row r="148" spans="1:77" x14ac:dyDescent="0.2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X148" s="123">
        <f t="shared" ref="AX148" si="52">AZ148+BA148+BB148+BC148+BD148</f>
        <v>141.69384765625</v>
      </c>
      <c r="AY148" s="78">
        <f t="shared" si="42"/>
        <v>170</v>
      </c>
      <c r="AZ148" s="53">
        <f t="shared" ref="AZ148" si="53">AY148*AY148*AY148*AY148*$AX$19</f>
        <v>-13.59391276041614</v>
      </c>
      <c r="BA148" s="53">
        <f t="shared" ref="BA148" si="54">AY148*AY148*AY148*$AY$19</f>
        <v>70.368489583332305</v>
      </c>
      <c r="BB148" s="53">
        <f t="shared" ref="BB148" si="55">AY148*AY148*$AZ$19</f>
        <v>-53.434895833332696</v>
      </c>
      <c r="BC148" s="53">
        <f t="shared" ref="BC148" si="56">AY148*$BA$19</f>
        <v>68.354166666666544</v>
      </c>
      <c r="BD148" s="53">
        <f t="shared" ref="BD148" si="57">$BB$19</f>
        <v>69.999999999999986</v>
      </c>
      <c r="BH148" s="123">
        <f t="shared" si="43"/>
        <v>4.958154296874989</v>
      </c>
      <c r="BI148" s="78">
        <f t="shared" si="44"/>
        <v>170</v>
      </c>
      <c r="BJ148" s="53">
        <f t="shared" si="45"/>
        <v>17.672086588541365</v>
      </c>
      <c r="BK148" s="53">
        <f t="shared" si="46"/>
        <v>-31.345963541666052</v>
      </c>
      <c r="BL148" s="53">
        <f t="shared" si="47"/>
        <v>20.696614583332909</v>
      </c>
      <c r="BM148" s="53">
        <f t="shared" si="48"/>
        <v>-3.3645833333332322</v>
      </c>
      <c r="BN148" s="53">
        <f t="shared" si="49"/>
        <v>1.2999999999999985</v>
      </c>
      <c r="BS148" s="53">
        <f t="shared" si="50"/>
        <v>7.5638184330256735</v>
      </c>
      <c r="BT148" s="53">
        <f t="shared" si="51"/>
        <v>149</v>
      </c>
      <c r="BU148" s="53">
        <f t="shared" ref="BU148" si="58">BT148*BT148*BT148*BT148*$BS$19</f>
        <v>441.7662466827303</v>
      </c>
      <c r="BV148" s="53">
        <f t="shared" ref="BV148" si="59">BT148*BT148*BT148*$BT$19</f>
        <v>-1217.0935747080953</v>
      </c>
      <c r="BW148" s="53">
        <f t="shared" ref="BW148" si="60">BT148*BT148*$BU$19</f>
        <v>1248.8443968423537</v>
      </c>
      <c r="BX148" s="53">
        <f t="shared" ref="BX148" si="61">BT148*$BV$19</f>
        <v>-558.8441940817014</v>
      </c>
      <c r="BY148" s="53">
        <f t="shared" ref="BY148" si="62">$BW$19</f>
        <v>92.890943697738336</v>
      </c>
    </row>
    <row r="149" spans="1:77" x14ac:dyDescent="0.25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  <c r="AN149" s="65"/>
    </row>
    <row r="150" spans="1:77" x14ac:dyDescent="0.25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</row>
    <row r="151" spans="1:77" x14ac:dyDescent="0.25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  <c r="AN151" s="65"/>
    </row>
  </sheetData>
  <sheetProtection algorithmName="SHA-512" hashValue="mQAmmVNS6IKs1+XEaydHOq8NQBY9R2KmbHokQ1awx9jgYyrQV6/gfZXL+1UqmE+65v8Pg1kJlyIv1fDbaDfQlw==" saltValue="0LGx/vqYYEZJp6sE7rtLKw==" spinCount="100000" sheet="1" objects="1" scenarios="1" selectLockedCells="1"/>
  <mergeCells count="2">
    <mergeCell ref="A1:B1"/>
    <mergeCell ref="A47:C47"/>
  </mergeCells>
  <conditionalFormatting sqref="E16:E21">
    <cfRule type="containsErrors" dxfId="6" priority="3">
      <formula>ISERROR(E16)</formula>
    </cfRule>
  </conditionalFormatting>
  <conditionalFormatting sqref="C13:C21">
    <cfRule type="containsErrors" dxfId="5" priority="2">
      <formula>ISERROR(C13)</formula>
    </cfRule>
  </conditionalFormatting>
  <conditionalFormatting sqref="F13:F21">
    <cfRule type="containsErrors" dxfId="4" priority="1">
      <formula>ISERROR(F13)</formula>
    </cfRule>
  </conditionalFormatting>
  <printOptions horizontalCentered="1"/>
  <pageMargins left="0.78740157480314965" right="0.78740157480314965" top="1.1811023622047245" bottom="0.78740157480314965" header="0.31496062992125984" footer="0.31496062992125984"/>
  <pageSetup paperSize="9" orientation="portrait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view="pageLayout" topLeftCell="A7" zoomScaleNormal="100" workbookViewId="0">
      <selection activeCell="E7" sqref="E7"/>
    </sheetView>
  </sheetViews>
  <sheetFormatPr baseColWidth="10" defaultColWidth="10.42578125" defaultRowHeight="15" x14ac:dyDescent="0.25"/>
  <cols>
    <col min="1" max="2" width="10.5703125" style="10" customWidth="1"/>
    <col min="3" max="6" width="10.42578125" style="10"/>
    <col min="7" max="8" width="10.5703125" style="10" customWidth="1"/>
    <col min="9" max="16384" width="10.42578125" style="10"/>
  </cols>
  <sheetData>
    <row r="1" spans="1:8" ht="23.25" x14ac:dyDescent="0.35">
      <c r="A1" s="64" t="s">
        <v>18</v>
      </c>
      <c r="C1" s="15" t="s">
        <v>53</v>
      </c>
    </row>
    <row r="2" spans="1:8" ht="23.25" customHeight="1" x14ac:dyDescent="0.25">
      <c r="A2" s="8" t="s">
        <v>0</v>
      </c>
      <c r="B2" s="110" t="str">
        <f>IF(Start!C3="","",Start!C3)</f>
        <v>Name</v>
      </c>
      <c r="C2" s="2"/>
      <c r="E2" s="13"/>
      <c r="F2" s="13"/>
      <c r="G2" s="25"/>
    </row>
    <row r="3" spans="1:8" x14ac:dyDescent="0.25">
      <c r="A3" s="8" t="s">
        <v>2</v>
      </c>
      <c r="B3" s="110" t="str">
        <f>IF(Start!C4="","",Start!C4)</f>
        <v>Vorname</v>
      </c>
    </row>
    <row r="4" spans="1:8" ht="14.1" customHeight="1" x14ac:dyDescent="0.25">
      <c r="A4" s="10" t="s">
        <v>4</v>
      </c>
      <c r="B4" s="73">
        <f>IF(Start!C6="","",Start!C6)</f>
        <v>23133</v>
      </c>
      <c r="D4" s="10" t="s">
        <v>5</v>
      </c>
      <c r="E4" s="2" t="str">
        <f>IF(Start!C5="","",Start!C5)</f>
        <v>w</v>
      </c>
      <c r="F4" s="2" t="s">
        <v>48</v>
      </c>
      <c r="G4" s="59">
        <f>IF(Start!C8="","",Start!C8)</f>
        <v>157</v>
      </c>
    </row>
    <row r="5" spans="1:8" ht="14.1" customHeight="1" x14ac:dyDescent="0.25">
      <c r="A5" s="101" t="s">
        <v>1</v>
      </c>
      <c r="B5" s="102" t="s">
        <v>8</v>
      </c>
      <c r="C5" s="103" t="s">
        <v>7</v>
      </c>
      <c r="D5" s="26"/>
    </row>
    <row r="6" spans="1:8" ht="14.1" customHeight="1" x14ac:dyDescent="0.25">
      <c r="A6" s="105">
        <f>IF(Start!C2="","",Start!C2)</f>
        <v>43539</v>
      </c>
      <c r="B6" s="106">
        <f>IF(A6="","",(A6-Laktat!B4)/365)</f>
        <v>55.906849315068492</v>
      </c>
      <c r="C6" s="107">
        <f>'Test 1'!B9</f>
        <v>83</v>
      </c>
      <c r="D6" s="104" t="s">
        <v>54</v>
      </c>
      <c r="E6" s="108">
        <f>'Test 1'!$AS$17</f>
        <v>114</v>
      </c>
      <c r="F6" s="112" t="s">
        <v>18</v>
      </c>
      <c r="G6" s="113">
        <f>IF(E6="","",IF(A6="","",E6/C6))</f>
        <v>1.3734939759036144</v>
      </c>
    </row>
    <row r="7" spans="1:8" ht="14.1" customHeight="1" x14ac:dyDescent="0.25">
      <c r="A7" s="105">
        <f>IF(Start!E2="","",Start!E2)</f>
        <v>43831</v>
      </c>
      <c r="B7" s="109">
        <f>IF(A7="","",(A7-Laktat!B4)/365)</f>
        <v>56.706849315068496</v>
      </c>
      <c r="C7" s="107">
        <f>'Test 2'!B9</f>
        <v>80</v>
      </c>
      <c r="D7" s="104" t="s">
        <v>54</v>
      </c>
      <c r="E7" s="108">
        <f>IF('Test 2'!BE17="","",'Test 2'!BE17)</f>
        <v>150</v>
      </c>
      <c r="F7" s="112" t="s">
        <v>18</v>
      </c>
      <c r="G7" s="113">
        <f>IF(E7="",#N/A,IF(E4="",#N/A,E7/C7))</f>
        <v>1.875</v>
      </c>
    </row>
    <row r="8" spans="1:8" ht="14.1" customHeight="1" x14ac:dyDescent="0.25">
      <c r="F8" s="114"/>
      <c r="G8" s="74">
        <f>IF(B6&lt;30,30.1,IF(B6&gt;70,69.9,B6))</f>
        <v>55.906849315068492</v>
      </c>
      <c r="H8" s="20">
        <f>IF(B7="",#N/A,IF(B7&lt;30,30.1,IF(B7&gt;70,69.9,B7)))</f>
        <v>56.706849315068496</v>
      </c>
    </row>
    <row r="46" spans="1:3" ht="8.25" customHeight="1" x14ac:dyDescent="0.25"/>
    <row r="47" spans="1:3" ht="15.75" customHeight="1" x14ac:dyDescent="0.3">
      <c r="B47" s="130" t="s">
        <v>59</v>
      </c>
    </row>
    <row r="48" spans="1:3" ht="18.75" customHeight="1" x14ac:dyDescent="0.25">
      <c r="A48" s="186" t="s">
        <v>58</v>
      </c>
      <c r="B48" s="186"/>
      <c r="C48" s="186"/>
    </row>
    <row r="49" ht="16.5" customHeight="1" x14ac:dyDescent="0.25"/>
    <row r="50" ht="20.25" customHeight="1" x14ac:dyDescent="0.25"/>
  </sheetData>
  <sheetProtection algorithmName="SHA-512" hashValue="N1mJohwaBKMYoeeeWl35i8WhkJDwAnYpU/Rj27tIw4pu5bEGT/Ntxu4BJXS4Rxu/nGrLb3//ox1xU7SksMHTTA==" saltValue="1r6R2uVfKA7XgzpnSmssmQ==" spinCount="100000" sheet="1" objects="1" scenarios="1" selectLockedCells="1"/>
  <mergeCells count="1">
    <mergeCell ref="A48:C48"/>
  </mergeCells>
  <conditionalFormatting sqref="A7">
    <cfRule type="cellIs" dxfId="3" priority="2" operator="equal">
      <formula>"""#NV"""</formula>
    </cfRule>
  </conditionalFormatting>
  <conditionalFormatting sqref="A7:B7 G7 H8">
    <cfRule type="containsErrors" dxfId="2" priority="1">
      <formula>ISERROR(A7)</formula>
    </cfRule>
  </conditionalFormatting>
  <printOptions horizontalCentered="1"/>
  <pageMargins left="0.70866141732283472" right="0.70866141732283472" top="1.1811023622047245" bottom="0.59055118110236227" header="0.31496062992125984" footer="0.31496062992125984"/>
  <pageSetup paperSize="9" orientation="portrait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8"/>
  <sheetViews>
    <sheetView showWhiteSpace="0" view="pageLayout" topLeftCell="A7" zoomScaleNormal="100" workbookViewId="0">
      <selection activeCell="D6" sqref="D6"/>
    </sheetView>
  </sheetViews>
  <sheetFormatPr baseColWidth="10" defaultColWidth="11.140625" defaultRowHeight="15" x14ac:dyDescent="0.25"/>
  <cols>
    <col min="1" max="1" width="8.85546875" style="10" customWidth="1"/>
    <col min="2" max="2" width="9.42578125" style="10" customWidth="1"/>
    <col min="3" max="3" width="8.5703125" style="10" customWidth="1"/>
    <col min="4" max="4" width="8.85546875" style="10" customWidth="1"/>
    <col min="5" max="5" width="9" style="10" customWidth="1"/>
    <col min="6" max="9" width="9.5703125" style="10" customWidth="1"/>
    <col min="10" max="11" width="11.140625" style="10"/>
    <col min="12" max="12" width="12" style="10" bestFit="1" customWidth="1"/>
    <col min="13" max="13" width="11.140625" style="11"/>
    <col min="14" max="16384" width="11.140625" style="10"/>
  </cols>
  <sheetData>
    <row r="1" spans="1:13" ht="23.25" x14ac:dyDescent="0.35">
      <c r="A1" s="193" t="s">
        <v>47</v>
      </c>
      <c r="B1" s="193"/>
      <c r="C1" s="193"/>
      <c r="D1" s="10" t="s">
        <v>74</v>
      </c>
      <c r="M1" s="10"/>
    </row>
    <row r="2" spans="1:13" ht="26.25" customHeight="1" x14ac:dyDescent="0.25">
      <c r="A2" s="8" t="s">
        <v>0</v>
      </c>
      <c r="B2" s="77" t="str">
        <f>IF(Start!C3="","",Start!C3)</f>
        <v>Name</v>
      </c>
      <c r="C2" s="67"/>
      <c r="G2" s="8" t="s">
        <v>1</v>
      </c>
      <c r="H2" s="179">
        <f>IF(Start!E2&gt;1,Start!E2,IF(Start!C2&gt;1,Start!C2,""))</f>
        <v>43831</v>
      </c>
      <c r="M2" s="10"/>
    </row>
    <row r="3" spans="1:13" x14ac:dyDescent="0.25">
      <c r="A3" s="8" t="s">
        <v>2</v>
      </c>
      <c r="B3" s="110" t="str">
        <f>IF(Start!C4="","",Start!C4)</f>
        <v>Vorname</v>
      </c>
      <c r="C3" s="68"/>
      <c r="M3" s="10"/>
    </row>
    <row r="4" spans="1:13" ht="14.1" customHeight="1" x14ac:dyDescent="0.25">
      <c r="A4" s="10" t="s">
        <v>4</v>
      </c>
      <c r="B4" s="17">
        <f>IF(Start!C6="","",Start!C6)</f>
        <v>23133</v>
      </c>
      <c r="C4" s="13" t="s">
        <v>5</v>
      </c>
      <c r="D4" s="19" t="str">
        <f>IF(Start!C5="","",Start!C5)</f>
        <v>w</v>
      </c>
      <c r="E4" s="13" t="s">
        <v>48</v>
      </c>
      <c r="F4" s="59">
        <f>IF(Start!C8="","",Start!C8)</f>
        <v>157</v>
      </c>
      <c r="H4" s="187" t="s">
        <v>19</v>
      </c>
      <c r="I4" s="187"/>
      <c r="M4" s="10"/>
    </row>
    <row r="5" spans="1:13" ht="14.1" customHeight="1" x14ac:dyDescent="0.25">
      <c r="A5" s="104" t="s">
        <v>1</v>
      </c>
      <c r="B5" s="115" t="s">
        <v>8</v>
      </c>
      <c r="C5" s="104" t="s">
        <v>7</v>
      </c>
      <c r="D5" s="104" t="s">
        <v>20</v>
      </c>
      <c r="E5" s="104" t="s">
        <v>21</v>
      </c>
      <c r="F5" s="104" t="s">
        <v>22</v>
      </c>
      <c r="G5" s="104" t="s">
        <v>23</v>
      </c>
      <c r="H5" s="104" t="s">
        <v>24</v>
      </c>
      <c r="I5" s="104" t="s">
        <v>56</v>
      </c>
      <c r="M5" s="10"/>
    </row>
    <row r="6" spans="1:13" ht="14.1" customHeight="1" x14ac:dyDescent="0.25">
      <c r="A6" s="116">
        <f>IF(Start!C2="","",Start!C2)</f>
        <v>43539</v>
      </c>
      <c r="B6" s="117">
        <f>IF(A6="","",(A6-'Laktat (2)'!B4)/365)</f>
        <v>55.906849315068492</v>
      </c>
      <c r="C6" s="118">
        <f>'Test 1'!B9</f>
        <v>83</v>
      </c>
      <c r="D6" s="108">
        <f>IF('Test 1'!BC17="","",'Test 1'!BC17)</f>
        <v>32</v>
      </c>
      <c r="E6" s="108">
        <f>IF('Test 1'!BC18="","",'Test 1'!BC18)</f>
        <v>90</v>
      </c>
      <c r="F6" s="180">
        <f>IF('Test 1'!BN17="","",'Test 1'!BN17)</f>
        <v>84</v>
      </c>
      <c r="G6" s="180">
        <f>IF('Test 1'!BN18="","",'Test 1'!BN18)</f>
        <v>116</v>
      </c>
      <c r="H6" s="180">
        <f>IF(G6="","",(F6+G6)/2)</f>
        <v>100</v>
      </c>
      <c r="I6" s="180">
        <f>IF(G6="","",H6+5)</f>
        <v>105</v>
      </c>
      <c r="M6" s="10"/>
    </row>
    <row r="7" spans="1:13" ht="14.1" customHeight="1" x14ac:dyDescent="0.25">
      <c r="A7" s="116">
        <f>IF(Start!E2="","",Start!E2)</f>
        <v>43831</v>
      </c>
      <c r="B7" s="126">
        <f>IF(A7="","",(A7-'Laktat (2)'!B4)/365)</f>
        <v>56.706849315068496</v>
      </c>
      <c r="C7" s="118">
        <f>'Test 2'!B9</f>
        <v>80</v>
      </c>
      <c r="D7" s="108">
        <f>IF('Test 2'!BO17="","",'Test 2'!BO17)</f>
        <v>54</v>
      </c>
      <c r="E7" s="108">
        <f>IF('Test 2'!BO18="","",'Test 2'!BO18)</f>
        <v>134</v>
      </c>
      <c r="F7" s="180">
        <f>IF('Test 2'!BZ17="","",'Test 2'!BZ17)</f>
        <v>88</v>
      </c>
      <c r="G7" s="180">
        <f>IF('Test 2'!BZ18="","",'Test 2'!BZ18)</f>
        <v>121</v>
      </c>
      <c r="H7" s="180">
        <f>IF(G7="","",(F7+G7)/2)</f>
        <v>104.5</v>
      </c>
      <c r="I7" s="180">
        <f>IF(G7="","",H7+5)</f>
        <v>109.5</v>
      </c>
      <c r="M7" s="10"/>
    </row>
    <row r="8" spans="1:13" ht="14.1" customHeight="1" x14ac:dyDescent="0.25">
      <c r="C8" s="12"/>
      <c r="D8" s="27"/>
      <c r="E8" s="27"/>
      <c r="F8" s="57"/>
      <c r="G8" s="57" t="s">
        <v>41</v>
      </c>
      <c r="H8" s="56" t="str">
        <f>IF(C8="","",(F8+G8)/2)</f>
        <v/>
      </c>
      <c r="I8" s="56"/>
      <c r="M8" s="10"/>
    </row>
    <row r="9" spans="1:13" ht="14.1" customHeight="1" x14ac:dyDescent="0.25">
      <c r="M9" s="10"/>
    </row>
    <row r="10" spans="1:13" x14ac:dyDescent="0.25">
      <c r="M10" s="10"/>
    </row>
    <row r="11" spans="1:13" x14ac:dyDescent="0.25">
      <c r="M11" s="10"/>
    </row>
    <row r="12" spans="1:13" x14ac:dyDescent="0.25">
      <c r="M12" s="10"/>
    </row>
    <row r="13" spans="1:13" x14ac:dyDescent="0.25">
      <c r="M13" s="10"/>
    </row>
    <row r="14" spans="1:13" x14ac:dyDescent="0.25">
      <c r="M14" s="10"/>
    </row>
    <row r="15" spans="1:13" x14ac:dyDescent="0.25">
      <c r="M15" s="10"/>
    </row>
    <row r="16" spans="1:13" x14ac:dyDescent="0.25">
      <c r="M16" s="10"/>
    </row>
    <row r="17" spans="13:18" x14ac:dyDescent="0.25">
      <c r="M17" s="10"/>
    </row>
    <row r="18" spans="13:18" x14ac:dyDescent="0.25">
      <c r="M18" s="10"/>
    </row>
    <row r="19" spans="13:18" x14ac:dyDescent="0.25">
      <c r="M19" s="10"/>
      <c r="R19" s="88"/>
    </row>
    <row r="20" spans="13:18" x14ac:dyDescent="0.25">
      <c r="M20" s="10"/>
      <c r="R20" s="88"/>
    </row>
    <row r="21" spans="13:18" x14ac:dyDescent="0.25">
      <c r="M21" s="10"/>
      <c r="R21" s="88"/>
    </row>
    <row r="22" spans="13:18" x14ac:dyDescent="0.25">
      <c r="M22" s="10"/>
      <c r="R22" s="88"/>
    </row>
    <row r="23" spans="13:18" x14ac:dyDescent="0.25">
      <c r="M23" s="10"/>
    </row>
    <row r="24" spans="13:18" x14ac:dyDescent="0.25">
      <c r="M24" s="10"/>
    </row>
    <row r="25" spans="13:18" x14ac:dyDescent="0.25">
      <c r="M25" s="10"/>
    </row>
    <row r="26" spans="13:18" x14ac:dyDescent="0.25">
      <c r="M26" s="10"/>
    </row>
    <row r="27" spans="13:18" x14ac:dyDescent="0.25">
      <c r="M27" s="10"/>
    </row>
    <row r="28" spans="13:18" x14ac:dyDescent="0.25">
      <c r="M28" s="10"/>
    </row>
    <row r="29" spans="13:18" x14ac:dyDescent="0.25">
      <c r="M29" s="10"/>
    </row>
    <row r="30" spans="13:18" x14ac:dyDescent="0.25">
      <c r="M30" s="10"/>
    </row>
    <row r="31" spans="13:18" x14ac:dyDescent="0.25">
      <c r="M31" s="10"/>
    </row>
    <row r="32" spans="13:18" x14ac:dyDescent="0.25">
      <c r="M32" s="10"/>
    </row>
    <row r="33" spans="1:13" x14ac:dyDescent="0.25">
      <c r="M33" s="10"/>
    </row>
    <row r="34" spans="1:13" x14ac:dyDescent="0.25">
      <c r="M34" s="10"/>
    </row>
    <row r="35" spans="1:13" x14ac:dyDescent="0.25">
      <c r="M35" s="10"/>
    </row>
    <row r="36" spans="1:13" x14ac:dyDescent="0.25">
      <c r="M36" s="10"/>
    </row>
    <row r="37" spans="1:13" x14ac:dyDescent="0.25">
      <c r="M37" s="10"/>
    </row>
    <row r="38" spans="1:13" x14ac:dyDescent="0.25">
      <c r="M38" s="10"/>
    </row>
    <row r="39" spans="1:13" x14ac:dyDescent="0.25">
      <c r="M39" s="10"/>
    </row>
    <row r="40" spans="1:13" x14ac:dyDescent="0.25">
      <c r="M40" s="10"/>
    </row>
    <row r="41" spans="1:13" x14ac:dyDescent="0.25">
      <c r="M41" s="10"/>
    </row>
    <row r="42" spans="1:13" x14ac:dyDescent="0.25">
      <c r="M42" s="10"/>
    </row>
    <row r="43" spans="1:13" x14ac:dyDescent="0.25">
      <c r="M43" s="10"/>
    </row>
    <row r="44" spans="1:13" x14ac:dyDescent="0.25">
      <c r="M44" s="10"/>
    </row>
    <row r="45" spans="1:13" x14ac:dyDescent="0.25">
      <c r="M45" s="10"/>
    </row>
    <row r="46" spans="1:13" x14ac:dyDescent="0.25">
      <c r="M46" s="10"/>
    </row>
    <row r="47" spans="1:13" x14ac:dyDescent="0.25">
      <c r="M47" s="10"/>
    </row>
    <row r="48" spans="1:13" ht="17.25" customHeight="1" x14ac:dyDescent="0.25">
      <c r="A48" s="188" t="s">
        <v>58</v>
      </c>
      <c r="B48" s="189"/>
      <c r="C48" s="189"/>
      <c r="D48" s="13"/>
      <c r="M48" s="10"/>
    </row>
    <row r="49" spans="1:13" x14ac:dyDescent="0.25">
      <c r="D49" s="62"/>
      <c r="E49" s="62"/>
      <c r="F49" s="62"/>
      <c r="G49" s="62"/>
      <c r="H49" s="62"/>
      <c r="I49" s="62"/>
      <c r="M49" s="10"/>
    </row>
    <row r="50" spans="1:13" ht="6.75" customHeight="1" x14ac:dyDescent="0.25">
      <c r="A50" s="63"/>
      <c r="B50" s="63"/>
      <c r="C50" s="63"/>
      <c r="D50" s="63"/>
      <c r="E50" s="63"/>
      <c r="F50" s="63"/>
      <c r="G50" s="63"/>
      <c r="H50" s="63"/>
      <c r="I50" s="63"/>
      <c r="M50" s="10"/>
    </row>
    <row r="51" spans="1:13" x14ac:dyDescent="0.25">
      <c r="A51" s="63"/>
      <c r="B51" s="63"/>
      <c r="C51" s="63"/>
      <c r="D51" s="63"/>
      <c r="E51" s="63"/>
      <c r="F51" s="63"/>
      <c r="G51" s="63"/>
      <c r="H51" s="63"/>
      <c r="I51" s="63"/>
      <c r="M51" s="10"/>
    </row>
    <row r="52" spans="1:13" x14ac:dyDescent="0.25">
      <c r="M52" s="10"/>
    </row>
    <row r="53" spans="1:13" x14ac:dyDescent="0.25">
      <c r="M53" s="10"/>
    </row>
    <row r="54" spans="1:13" x14ac:dyDescent="0.25">
      <c r="M54" s="10"/>
    </row>
    <row r="55" spans="1:13" x14ac:dyDescent="0.25">
      <c r="M55" s="10"/>
    </row>
    <row r="56" spans="1:13" x14ac:dyDescent="0.25">
      <c r="M56" s="10"/>
    </row>
    <row r="57" spans="1:13" x14ac:dyDescent="0.25">
      <c r="M57" s="10"/>
    </row>
    <row r="58" spans="1:13" x14ac:dyDescent="0.25">
      <c r="M58" s="10"/>
    </row>
    <row r="59" spans="1:13" x14ac:dyDescent="0.25">
      <c r="M59" s="10"/>
    </row>
    <row r="60" spans="1:13" x14ac:dyDescent="0.25">
      <c r="M60" s="10"/>
    </row>
    <row r="61" spans="1:13" x14ac:dyDescent="0.25">
      <c r="M61" s="10"/>
    </row>
    <row r="62" spans="1:13" x14ac:dyDescent="0.25">
      <c r="M62" s="10"/>
    </row>
    <row r="63" spans="1:13" x14ac:dyDescent="0.25">
      <c r="M63" s="10"/>
    </row>
    <row r="64" spans="1:13" x14ac:dyDescent="0.25">
      <c r="M64" s="10"/>
    </row>
    <row r="65" spans="13:13" x14ac:dyDescent="0.25">
      <c r="M65" s="10"/>
    </row>
    <row r="66" spans="13:13" x14ac:dyDescent="0.25">
      <c r="M66" s="10"/>
    </row>
    <row r="67" spans="13:13" x14ac:dyDescent="0.25">
      <c r="M67" s="10"/>
    </row>
    <row r="68" spans="13:13" x14ac:dyDescent="0.25">
      <c r="M68" s="10"/>
    </row>
    <row r="69" spans="13:13" x14ac:dyDescent="0.25">
      <c r="M69" s="10"/>
    </row>
    <row r="70" spans="13:13" x14ac:dyDescent="0.25">
      <c r="M70" s="10"/>
    </row>
    <row r="71" spans="13:13" x14ac:dyDescent="0.25">
      <c r="M71" s="10"/>
    </row>
    <row r="72" spans="13:13" x14ac:dyDescent="0.25">
      <c r="M72" s="10"/>
    </row>
    <row r="73" spans="13:13" x14ac:dyDescent="0.25">
      <c r="M73" s="10"/>
    </row>
    <row r="74" spans="13:13" x14ac:dyDescent="0.25">
      <c r="M74" s="10"/>
    </row>
    <row r="75" spans="13:13" x14ac:dyDescent="0.25">
      <c r="M75" s="10"/>
    </row>
    <row r="76" spans="13:13" x14ac:dyDescent="0.25">
      <c r="M76" s="10"/>
    </row>
    <row r="77" spans="13:13" x14ac:dyDescent="0.25">
      <c r="M77" s="10"/>
    </row>
    <row r="78" spans="13:13" x14ac:dyDescent="0.25">
      <c r="M78" s="10"/>
    </row>
    <row r="79" spans="13:13" x14ac:dyDescent="0.25">
      <c r="M79" s="10"/>
    </row>
    <row r="80" spans="13:13" x14ac:dyDescent="0.25">
      <c r="M80" s="10"/>
    </row>
    <row r="81" spans="13:13" x14ac:dyDescent="0.25">
      <c r="M81" s="10"/>
    </row>
    <row r="82" spans="13:13" x14ac:dyDescent="0.25">
      <c r="M82" s="10"/>
    </row>
    <row r="83" spans="13:13" x14ac:dyDescent="0.25">
      <c r="M83" s="10"/>
    </row>
    <row r="84" spans="13:13" x14ac:dyDescent="0.25">
      <c r="M84" s="10"/>
    </row>
    <row r="85" spans="13:13" x14ac:dyDescent="0.25">
      <c r="M85" s="10"/>
    </row>
    <row r="86" spans="13:13" x14ac:dyDescent="0.25">
      <c r="M86" s="10"/>
    </row>
    <row r="87" spans="13:13" x14ac:dyDescent="0.25">
      <c r="M87" s="10"/>
    </row>
    <row r="88" spans="13:13" x14ac:dyDescent="0.25">
      <c r="M88" s="10"/>
    </row>
  </sheetData>
  <sheetProtection algorithmName="SHA-512" hashValue="m8bSVTvVRFmqKXQUGKZEdqHNS5IQ1xBg48LiGKpLYIhYjkk8Uoy3R7vhuvCvW7vFE8DhfqCURgI9E7uyx4LeuA==" saltValue="kWKVx8ygSvn5M2OZ/n1T7A==" spinCount="100000" sheet="1" objects="1" scenarios="1" selectLockedCells="1"/>
  <mergeCells count="3">
    <mergeCell ref="H4:I4"/>
    <mergeCell ref="A48:C48"/>
    <mergeCell ref="A1:C1"/>
  </mergeCells>
  <conditionalFormatting sqref="R15:S17">
    <cfRule type="containsErrors" dxfId="1" priority="1">
      <formula>ISERROR(R15)</formula>
    </cfRule>
  </conditionalFormatting>
  <printOptions horizontalCentered="1"/>
  <pageMargins left="0.70866141732283472" right="0.70866141732283472" top="1.1811023622047245" bottom="0.59055118110236227" header="0.31496062992125984" footer="0.31496062992125984"/>
  <pageSetup paperSize="9" orientation="portrait" horizontalDpi="360" verticalDpi="36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view="pageLayout" zoomScaleNormal="100" workbookViewId="0">
      <selection activeCell="C3" sqref="C3"/>
    </sheetView>
  </sheetViews>
  <sheetFormatPr baseColWidth="10" defaultColWidth="11.42578125" defaultRowHeight="15" x14ac:dyDescent="0.25"/>
  <cols>
    <col min="1" max="2" width="11.42578125" style="10"/>
    <col min="3" max="3" width="4.28515625" style="10" customWidth="1"/>
    <col min="4" max="4" width="11" style="10" customWidth="1"/>
    <col min="5" max="5" width="12.7109375" style="10" customWidth="1"/>
    <col min="6" max="7" width="11" style="10" customWidth="1"/>
    <col min="8" max="8" width="13.5703125" style="10" customWidth="1"/>
    <col min="9" max="16384" width="11.42578125" style="10"/>
  </cols>
  <sheetData>
    <row r="1" spans="1:8" s="15" customFormat="1" ht="34.5" customHeight="1" x14ac:dyDescent="0.25">
      <c r="A1" s="190" t="s">
        <v>90</v>
      </c>
      <c r="B1" s="190"/>
      <c r="C1" s="190"/>
      <c r="D1" s="190"/>
      <c r="E1" s="190"/>
    </row>
    <row r="2" spans="1:8" x14ac:dyDescent="0.25">
      <c r="A2" s="8" t="s">
        <v>0</v>
      </c>
      <c r="B2" s="111" t="str">
        <f>IF(Start!C3="","",Start!C3)</f>
        <v>Name</v>
      </c>
      <c r="G2" s="8" t="s">
        <v>1</v>
      </c>
      <c r="H2" s="11">
        <f>IF(Start!E2&gt;1,Start!E2,IF(Start!C2&gt;1,Start!C2,""))</f>
        <v>43831</v>
      </c>
    </row>
    <row r="3" spans="1:8" x14ac:dyDescent="0.25">
      <c r="A3" s="8" t="s">
        <v>2</v>
      </c>
      <c r="B3" s="111" t="str">
        <f>IF(Start!C4="","",Start!C4)</f>
        <v>Vorname</v>
      </c>
    </row>
    <row r="4" spans="1:8" ht="15" customHeight="1" x14ac:dyDescent="0.25">
      <c r="A4" s="10" t="s">
        <v>4</v>
      </c>
      <c r="B4" s="17">
        <f>IF(Start!C6="","",Start!C6)</f>
        <v>23133</v>
      </c>
    </row>
    <row r="5" spans="1:8" x14ac:dyDescent="0.25">
      <c r="A5" s="10" t="s">
        <v>8</v>
      </c>
      <c r="B5" s="18">
        <f>IF(B4="","",IF(H2="","",(H2-B4)/365))</f>
        <v>56.706849315068496</v>
      </c>
      <c r="C5" s="2"/>
    </row>
    <row r="6" spans="1:8" x14ac:dyDescent="0.25">
      <c r="A6" s="10" t="s">
        <v>46</v>
      </c>
      <c r="B6" s="19" t="str">
        <f>IF(Start!C7="","",Start!C7)</f>
        <v/>
      </c>
      <c r="C6" s="2"/>
    </row>
    <row r="7" spans="1:8" x14ac:dyDescent="0.25">
      <c r="A7" s="10" t="s">
        <v>7</v>
      </c>
      <c r="B7" s="58">
        <f>IF(Start!C9="","",Start!C9)</f>
        <v>83</v>
      </c>
      <c r="C7" s="4"/>
    </row>
    <row r="8" spans="1:8" x14ac:dyDescent="0.25">
      <c r="A8" s="10" t="s">
        <v>48</v>
      </c>
      <c r="B8" s="43">
        <f>IF(Start!C8="","",Start!C8)</f>
        <v>157</v>
      </c>
      <c r="C8" s="2"/>
    </row>
    <row r="9" spans="1:8" x14ac:dyDescent="0.25">
      <c r="A9" s="10" t="s">
        <v>5</v>
      </c>
      <c r="B9" s="9" t="str">
        <f>IF(Start!C5="","",Start!C5)</f>
        <v>w</v>
      </c>
      <c r="C9" s="2"/>
    </row>
    <row r="10" spans="1:8" x14ac:dyDescent="0.25">
      <c r="B10" s="5"/>
      <c r="C10" s="5"/>
    </row>
    <row r="11" spans="1:8" ht="33" customHeight="1" x14ac:dyDescent="0.35">
      <c r="F11" s="69" t="s">
        <v>64</v>
      </c>
      <c r="G11" s="13" t="s">
        <v>25</v>
      </c>
      <c r="H11" s="13" t="s">
        <v>18</v>
      </c>
    </row>
    <row r="12" spans="1:8" x14ac:dyDescent="0.25">
      <c r="D12" s="10" t="s">
        <v>1</v>
      </c>
      <c r="E12" s="10" t="s">
        <v>26</v>
      </c>
      <c r="F12" s="69" t="s">
        <v>65</v>
      </c>
      <c r="G12" s="13" t="s">
        <v>55</v>
      </c>
      <c r="H12" s="10" t="s">
        <v>27</v>
      </c>
    </row>
    <row r="13" spans="1:8" x14ac:dyDescent="0.25">
      <c r="D13" s="12">
        <f>IF('Test 1'!G3="","",'Test 1'!G3)</f>
        <v>43539</v>
      </c>
      <c r="E13" s="71">
        <f>IF(Laktat!E6="","",Laktat!E6)</f>
        <v>90</v>
      </c>
      <c r="F13" s="7">
        <f>IF(E13="","",IF('Laktat (2)'!C6="","",E13*13/'PWC 130 (2)'!$C$6))</f>
        <v>14.096385542168674</v>
      </c>
      <c r="G13" s="7">
        <f>IF(F13="","",F13*60*4.8/1000)</f>
        <v>4.0597590361445786</v>
      </c>
      <c r="H13" s="7">
        <f>IF('PWC 130'!G6="","",'PWC 130'!G6)</f>
        <v>1.3734939759036144</v>
      </c>
    </row>
    <row r="14" spans="1:8" x14ac:dyDescent="0.25">
      <c r="D14" s="12">
        <f>IF('Test 2'!G3="","",'Test 2'!G3)</f>
        <v>43831</v>
      </c>
      <c r="E14" s="127">
        <f>IF('Laktat (2)'!E7="","",'Laktat (2)'!E7)</f>
        <v>134</v>
      </c>
      <c r="F14" s="7">
        <f>IF(E14="","",IF('Laktat (2)'!C7="","",E14*13/'Laktat (2)'!C7))</f>
        <v>21.774999999999999</v>
      </c>
      <c r="G14" s="128">
        <f>IF(F14="","",F14*60*4.8/1000)</f>
        <v>6.2711999999999994</v>
      </c>
      <c r="H14" s="128">
        <f>IF('PWC 130 (2)'!G7="","",'PWC 130 (2)'!G7)</f>
        <v>1.875</v>
      </c>
    </row>
    <row r="15" spans="1:8" x14ac:dyDescent="0.25">
      <c r="D15" s="12"/>
      <c r="E15" s="13"/>
      <c r="F15" s="7"/>
      <c r="G15" s="7"/>
      <c r="H15" s="7"/>
    </row>
    <row r="43" spans="1:4" x14ac:dyDescent="0.25">
      <c r="D43" s="6"/>
    </row>
    <row r="46" spans="1:4" x14ac:dyDescent="0.25">
      <c r="A46" s="191" t="s">
        <v>57</v>
      </c>
      <c r="B46" s="192"/>
      <c r="C46" s="192"/>
      <c r="D46" s="192"/>
    </row>
    <row r="47" spans="1:4" x14ac:dyDescent="0.25">
      <c r="A47" s="178"/>
      <c r="B47" s="68"/>
      <c r="C47" s="68"/>
      <c r="D47" s="68"/>
    </row>
  </sheetData>
  <sheetProtection algorithmName="SHA-512" hashValue="qBRkC5/WXPJlETa/A8EcEvUFzgCxw92RHM2YMGDBSjLgKHhfa2eVScXf3JIorv5SNumAdT+YuGA09G2hKBQJFA==" saltValue="a7C5zg8lxEUTy16c927hQw==" spinCount="100000" sheet="1" objects="1" scenarios="1" selectLockedCells="1"/>
  <mergeCells count="2">
    <mergeCell ref="A1:E1"/>
    <mergeCell ref="A46:D46"/>
  </mergeCells>
  <conditionalFormatting sqref="H15">
    <cfRule type="cellIs" dxfId="0" priority="1" operator="equal">
      <formula>0</formula>
    </cfRule>
  </conditionalFormatting>
  <printOptions horizontalCentered="1"/>
  <pageMargins left="0.51181102362204722" right="0.51181102362204722" top="1.1811023622047245" bottom="0.59055118110236227" header="0.31496062992125984" footer="0.31496062992125984"/>
  <pageSetup paperSize="9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8</vt:i4>
      </vt:variant>
    </vt:vector>
  </HeadingPairs>
  <TitlesOfParts>
    <vt:vector size="17" baseType="lpstr">
      <vt:lpstr>Start</vt:lpstr>
      <vt:lpstr>Test 1</vt:lpstr>
      <vt:lpstr>PWC 130</vt:lpstr>
      <vt:lpstr>Laktat</vt:lpstr>
      <vt:lpstr>MET &amp; PWC</vt:lpstr>
      <vt:lpstr>Test 2</vt:lpstr>
      <vt:lpstr>PWC 130 (2)</vt:lpstr>
      <vt:lpstr>Laktat (2)</vt:lpstr>
      <vt:lpstr>MET &amp; PWC (2)</vt:lpstr>
      <vt:lpstr>Laktat!Druckbereich</vt:lpstr>
      <vt:lpstr>'Laktat (2)'!Druckbereich</vt:lpstr>
      <vt:lpstr>'MET &amp; PWC'!Druckbereich</vt:lpstr>
      <vt:lpstr>'MET &amp; PWC (2)'!Druckbereich</vt:lpstr>
      <vt:lpstr>'PWC 130'!Druckbereich</vt:lpstr>
      <vt:lpstr>'PWC 130 (2)'!Druckbereich</vt:lpstr>
      <vt:lpstr>'Test 1'!Druckbereich</vt:lpstr>
      <vt:lpstr>'Test 2'!Druckbereich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Büro</dc:creator>
  <cp:keywords/>
  <dc:description/>
  <cp:lastModifiedBy>Büro</cp:lastModifiedBy>
  <cp:revision>0</cp:revision>
  <cp:lastPrinted>2020-12-16T14:43:09Z</cp:lastPrinted>
  <dcterms:created xsi:type="dcterms:W3CDTF">2019-12-08T13:35:15Z</dcterms:created>
  <dcterms:modified xsi:type="dcterms:W3CDTF">2020-12-21T16:58:43Z</dcterms:modified>
</cp:coreProperties>
</file>