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updateLinks="never"/>
  <mc:AlternateContent xmlns:mc="http://schemas.openxmlformats.org/markup-compatibility/2006">
    <mc:Choice Requires="x15">
      <x15ac:absPath xmlns:x15ac="http://schemas.microsoft.com/office/spreadsheetml/2010/11/ac" url="https://d.docs.live.net/df5805ac140a7e31/Dokumente/Homepage/Downloads/fertig K1/"/>
    </mc:Choice>
  </mc:AlternateContent>
  <xr:revisionPtr revIDLastSave="0" documentId="14_{20B119CA-29D6-4006-9B1C-1575DDE5C50B}" xr6:coauthVersionLast="47" xr6:coauthVersionMax="47" xr10:uidLastSave="{00000000-0000-0000-0000-000000000000}"/>
  <bookViews>
    <workbookView xWindow="-108" yWindow="-108" windowWidth="23256" windowHeight="12576" tabRatio="638" xr2:uid="{00000000-000D-0000-FFFF-FFFF00000000}"/>
  </bookViews>
  <sheets>
    <sheet name="Start" sheetId="14" r:id="rId1"/>
    <sheet name="Test 1" sheetId="11" r:id="rId2"/>
    <sheet name="PWC 130" sheetId="12" r:id="rId3"/>
    <sheet name="Laktat" sheetId="13" r:id="rId4"/>
    <sheet name="MET &amp; PWC" sheetId="9" r:id="rId5"/>
  </sheets>
  <definedNames>
    <definedName name="_xlnm.Print_Area" localSheetId="3">Laktat!$A$1:$I$48</definedName>
    <definedName name="_xlnm.Print_Area" localSheetId="4">'MET &amp; PWC'!$A$1:$H$46</definedName>
    <definedName name="_xlnm.Print_Area" localSheetId="2">'PWC 130'!$A$1:$H$48</definedName>
    <definedName name="_xlnm.Print_Area" localSheetId="1">'Test 1'!$A$1:$G$47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" i="9" l="1"/>
  <c r="H2" i="13"/>
  <c r="H8" i="12" l="1"/>
  <c r="A6" i="13"/>
  <c r="A6" i="12"/>
  <c r="D4" i="12"/>
  <c r="B9" i="9" l="1"/>
  <c r="B8" i="9"/>
  <c r="B7" i="9"/>
  <c r="B6" i="9"/>
  <c r="B4" i="9"/>
  <c r="B3" i="9"/>
  <c r="B2" i="9"/>
  <c r="D4" i="13"/>
  <c r="F4" i="13"/>
  <c r="B4" i="13"/>
  <c r="B3" i="13"/>
  <c r="B2" i="13"/>
  <c r="F4" i="12"/>
  <c r="B4" i="12"/>
  <c r="B3" i="12"/>
  <c r="B2" i="12"/>
  <c r="G3" i="11"/>
  <c r="B3" i="11"/>
  <c r="G8" i="11"/>
  <c r="G7" i="11"/>
  <c r="G4" i="11"/>
  <c r="B5" i="11"/>
  <c r="B6" i="11"/>
  <c r="B7" i="11"/>
  <c r="B8" i="11"/>
  <c r="B9" i="11"/>
  <c r="B4" i="11"/>
  <c r="C6" i="12" l="1"/>
  <c r="C6" i="13"/>
  <c r="B6" i="13"/>
  <c r="B6" i="12"/>
  <c r="G8" i="12" s="1"/>
  <c r="D13" i="9"/>
  <c r="B5" i="9"/>
  <c r="G5" i="11"/>
  <c r="G6" i="11" s="1"/>
  <c r="E104" i="11" l="1"/>
  <c r="E103" i="11"/>
  <c r="E102" i="11"/>
  <c r="E101" i="11"/>
  <c r="E100" i="11"/>
  <c r="E99" i="11"/>
  <c r="E98" i="11"/>
  <c r="E97" i="11"/>
  <c r="E96" i="11"/>
  <c r="D104" i="11"/>
  <c r="D103" i="11"/>
  <c r="D102" i="11"/>
  <c r="D101" i="11"/>
  <c r="D100" i="11"/>
  <c r="D99" i="11"/>
  <c r="D98" i="11"/>
  <c r="D97" i="11"/>
  <c r="D96" i="11"/>
  <c r="C104" i="11"/>
  <c r="C103" i="11"/>
  <c r="C102" i="11"/>
  <c r="C101" i="11"/>
  <c r="C100" i="11"/>
  <c r="C99" i="11"/>
  <c r="C98" i="11"/>
  <c r="C97" i="11"/>
  <c r="C96" i="11"/>
  <c r="B102" i="11"/>
  <c r="B101" i="11"/>
  <c r="B100" i="11"/>
  <c r="B104" i="11"/>
  <c r="B103" i="11"/>
  <c r="B99" i="11"/>
  <c r="B98" i="11"/>
  <c r="B97" i="11"/>
  <c r="B96" i="11"/>
  <c r="C56" i="14"/>
  <c r="C62" i="14" s="1"/>
  <c r="A96" i="11"/>
  <c r="A97" i="11" s="1"/>
  <c r="A98" i="11" s="1"/>
  <c r="A99" i="11" s="1"/>
  <c r="A100" i="11" s="1"/>
  <c r="A101" i="11" s="1"/>
  <c r="A102" i="11" s="1"/>
  <c r="A13" i="11"/>
  <c r="AM5" i="11" s="1"/>
  <c r="C15" i="14"/>
  <c r="C21" i="14" s="1"/>
  <c r="C27" i="14" s="1"/>
  <c r="C33" i="14" s="1"/>
  <c r="C39" i="14" s="1"/>
  <c r="C45" i="14" s="1"/>
  <c r="C51" i="14" s="1"/>
  <c r="C14" i="14"/>
  <c r="C20" i="14" s="1"/>
  <c r="C26" i="14" s="1"/>
  <c r="C32" i="14" s="1"/>
  <c r="C38" i="14" s="1"/>
  <c r="C44" i="14" s="1"/>
  <c r="C50" i="14" s="1"/>
  <c r="AC13" i="11" l="1"/>
  <c r="AW5" i="11"/>
  <c r="AY5" i="11" s="1"/>
  <c r="AZ5" i="11" s="1"/>
  <c r="BA5" i="11" s="1"/>
  <c r="BB5" i="11" s="1"/>
  <c r="BC5" i="11" s="1"/>
  <c r="AM178" i="11"/>
  <c r="AO178" i="11" s="1"/>
  <c r="AM173" i="11"/>
  <c r="AO5" i="11"/>
  <c r="AN169" i="11"/>
  <c r="AM169" i="11"/>
  <c r="AL169" i="11"/>
  <c r="AP5" i="11" l="1"/>
  <c r="AJ5" i="11"/>
  <c r="H8" i="13"/>
  <c r="D13" i="11"/>
  <c r="D14" i="11"/>
  <c r="C14" i="11"/>
  <c r="C13" i="11"/>
  <c r="F13" i="11" s="1"/>
  <c r="E14" i="11"/>
  <c r="E13" i="11"/>
  <c r="B15" i="11"/>
  <c r="B13" i="11"/>
  <c r="G13" i="11" s="1"/>
  <c r="AV5" i="11" s="1"/>
  <c r="B14" i="11"/>
  <c r="BG5" i="11" l="1"/>
  <c r="F14" i="11"/>
  <c r="AL178" i="11"/>
  <c r="AL203" i="11"/>
  <c r="AL173" i="11"/>
  <c r="A14" i="11"/>
  <c r="AW21" i="11" s="1"/>
  <c r="AW22" i="11" s="1"/>
  <c r="AW23" i="11" s="1"/>
  <c r="G14" i="11"/>
  <c r="C15" i="11"/>
  <c r="G15" i="11"/>
  <c r="AV7" i="11" s="1"/>
  <c r="AM203" i="11"/>
  <c r="BH5" i="11"/>
  <c r="BJ5" i="11" s="1"/>
  <c r="BK5" i="11" s="1"/>
  <c r="BL5" i="11" s="1"/>
  <c r="BM5" i="11" s="1"/>
  <c r="BN5" i="11" s="1"/>
  <c r="D15" i="11"/>
  <c r="B16" i="11"/>
  <c r="G16" i="11" s="1"/>
  <c r="AL5" i="11"/>
  <c r="AQ5" i="11"/>
  <c r="AR5" i="11" s="1"/>
  <c r="AS5" i="11" s="1"/>
  <c r="E15" i="11"/>
  <c r="A15" i="11" l="1"/>
  <c r="F15" i="11"/>
  <c r="AM21" i="11"/>
  <c r="AM22" i="11" s="1"/>
  <c r="AM23" i="11" s="1"/>
  <c r="AM24" i="11" s="1"/>
  <c r="AM25" i="11" s="1"/>
  <c r="AM26" i="11" s="1"/>
  <c r="AM27" i="11" s="1"/>
  <c r="AM28" i="11" s="1"/>
  <c r="AM29" i="11" s="1"/>
  <c r="AM30" i="11" s="1"/>
  <c r="AM31" i="11" s="1"/>
  <c r="AM32" i="11" s="1"/>
  <c r="AM33" i="11" s="1"/>
  <c r="AM34" i="11" s="1"/>
  <c r="AM35" i="11" s="1"/>
  <c r="AM36" i="11" s="1"/>
  <c r="AM37" i="11" s="1"/>
  <c r="AM38" i="11" s="1"/>
  <c r="AM39" i="11" s="1"/>
  <c r="AM40" i="11" s="1"/>
  <c r="AM41" i="11" s="1"/>
  <c r="AM42" i="11" s="1"/>
  <c r="AM43" i="11" s="1"/>
  <c r="AM44" i="11" s="1"/>
  <c r="AM45" i="11" s="1"/>
  <c r="AM46" i="11" s="1"/>
  <c r="AM47" i="11" s="1"/>
  <c r="AM48" i="11" s="1"/>
  <c r="AM49" i="11" s="1"/>
  <c r="AM78" i="11" s="1"/>
  <c r="AM79" i="11" s="1"/>
  <c r="AM80" i="11" s="1"/>
  <c r="AM81" i="11" s="1"/>
  <c r="AM82" i="11" s="1"/>
  <c r="AM83" i="11" s="1"/>
  <c r="AM84" i="11" s="1"/>
  <c r="AM85" i="11" s="1"/>
  <c r="AM86" i="11" s="1"/>
  <c r="AM87" i="11" s="1"/>
  <c r="AM88" i="11" s="1"/>
  <c r="AM89" i="11" s="1"/>
  <c r="AM90" i="11" s="1"/>
  <c r="AM91" i="11" s="1"/>
  <c r="AM92" i="11" s="1"/>
  <c r="AM93" i="11" s="1"/>
  <c r="AM94" i="11" s="1"/>
  <c r="AM95" i="11" s="1"/>
  <c r="AM96" i="11" s="1"/>
  <c r="AM97" i="11" s="1"/>
  <c r="AM98" i="11" s="1"/>
  <c r="AM99" i="11" s="1"/>
  <c r="AM100" i="11" s="1"/>
  <c r="AM101" i="11" s="1"/>
  <c r="AM102" i="11" s="1"/>
  <c r="AM103" i="11" s="1"/>
  <c r="AM104" i="11" s="1"/>
  <c r="AM105" i="11" s="1"/>
  <c r="AM106" i="11" s="1"/>
  <c r="AM107" i="11" s="1"/>
  <c r="AM108" i="11" s="1"/>
  <c r="AM109" i="11" s="1"/>
  <c r="AM110" i="11" s="1"/>
  <c r="AM111" i="11" s="1"/>
  <c r="AM112" i="11" s="1"/>
  <c r="AM113" i="11" s="1"/>
  <c r="AM114" i="11" s="1"/>
  <c r="AL179" i="11"/>
  <c r="AP179" i="11" s="1"/>
  <c r="AQ179" i="11" s="1"/>
  <c r="AR179" i="11" s="1"/>
  <c r="AV6" i="11"/>
  <c r="AL204" i="11"/>
  <c r="AP204" i="11" s="1"/>
  <c r="AQ204" i="11" s="1"/>
  <c r="AR204" i="11" s="1"/>
  <c r="BH21" i="11"/>
  <c r="BH22" i="11" s="1"/>
  <c r="AW6" i="11"/>
  <c r="AY6" i="11" s="1"/>
  <c r="AZ6" i="11" s="1"/>
  <c r="BA6" i="11" s="1"/>
  <c r="BB6" i="11" s="1"/>
  <c r="BC6" i="11" s="1"/>
  <c r="BH6" i="11"/>
  <c r="BJ6" i="11" s="1"/>
  <c r="BK6" i="11" s="1"/>
  <c r="BL6" i="11" s="1"/>
  <c r="BM6" i="11" s="1"/>
  <c r="BN6" i="11" s="1"/>
  <c r="AC14" i="11"/>
  <c r="AO6" i="11"/>
  <c r="AP6" i="11" s="1"/>
  <c r="AQ6" i="11" s="1"/>
  <c r="AR6" i="11" s="1"/>
  <c r="AS6" i="11" s="1"/>
  <c r="AM6" i="11"/>
  <c r="AM179" i="11"/>
  <c r="AO179" i="11" s="1"/>
  <c r="AM204" i="11"/>
  <c r="AO204" i="11" s="1"/>
  <c r="BG6" i="11"/>
  <c r="AL6" i="11"/>
  <c r="AV8" i="11"/>
  <c r="C16" i="11"/>
  <c r="B17" i="11"/>
  <c r="G17" i="11" s="1"/>
  <c r="E16" i="11"/>
  <c r="AO7" i="11"/>
  <c r="AC15" i="11"/>
  <c r="BH7" i="11"/>
  <c r="BJ7" i="11" s="1"/>
  <c r="BK7" i="11" s="1"/>
  <c r="AW7" i="11"/>
  <c r="AY7" i="11" s="1"/>
  <c r="AZ7" i="11" s="1"/>
  <c r="BA7" i="11" s="1"/>
  <c r="BB7" i="11" s="1"/>
  <c r="BC7" i="11" s="1"/>
  <c r="BG7" i="11"/>
  <c r="BH23" i="11"/>
  <c r="AW24" i="11"/>
  <c r="AL205" i="11"/>
  <c r="AP205" i="11" s="1"/>
  <c r="AL180" i="11"/>
  <c r="AP180" i="11" s="1"/>
  <c r="AM205" i="11"/>
  <c r="AO205" i="11" s="1"/>
  <c r="AM180" i="11"/>
  <c r="AL7" i="11"/>
  <c r="AM7" i="11"/>
  <c r="A16" i="11"/>
  <c r="D16" i="11"/>
  <c r="AJ6" i="11" l="1"/>
  <c r="F16" i="11"/>
  <c r="AV9" i="11"/>
  <c r="C17" i="11"/>
  <c r="B18" i="11"/>
  <c r="G18" i="11" s="1"/>
  <c r="E17" i="11"/>
  <c r="AX13" i="11" a="1"/>
  <c r="AZ13" i="11" s="1"/>
  <c r="AO8" i="11"/>
  <c r="AP8" i="11" s="1"/>
  <c r="AC16" i="11"/>
  <c r="AW8" i="11"/>
  <c r="AY8" i="11" s="1"/>
  <c r="AZ8" i="11" s="1"/>
  <c r="BH8" i="11"/>
  <c r="BJ8" i="11" s="1"/>
  <c r="BK8" i="11" s="1"/>
  <c r="BL8" i="11" s="1"/>
  <c r="BM8" i="11" s="1"/>
  <c r="BN8" i="11" s="1"/>
  <c r="BG8" i="11"/>
  <c r="AP7" i="11"/>
  <c r="AJ7" i="11"/>
  <c r="BL7" i="11"/>
  <c r="BM7" i="11" s="1"/>
  <c r="BN7" i="11" s="1"/>
  <c r="BH24" i="11"/>
  <c r="AW25" i="11"/>
  <c r="AQ180" i="11"/>
  <c r="AR180" i="11" s="1"/>
  <c r="AQ205" i="11"/>
  <c r="AR205" i="11" s="1"/>
  <c r="AL206" i="11"/>
  <c r="AP206" i="11" s="1"/>
  <c r="AQ206" i="11" s="1"/>
  <c r="AR206" i="11" s="1"/>
  <c r="AM206" i="11"/>
  <c r="AO206" i="11" s="1"/>
  <c r="AM181" i="11"/>
  <c r="AO181" i="11" s="1"/>
  <c r="AL181" i="11"/>
  <c r="AP181" i="11" s="1"/>
  <c r="AQ181" i="11" s="1"/>
  <c r="AR181" i="11" s="1"/>
  <c r="AL8" i="11"/>
  <c r="AM8" i="11"/>
  <c r="AO180" i="11"/>
  <c r="C18" i="11" l="1"/>
  <c r="BI13" i="11" a="1"/>
  <c r="BI13" i="11" s="1"/>
  <c r="AV10" i="11"/>
  <c r="E18" i="11"/>
  <c r="B19" i="11"/>
  <c r="G19" i="11" s="1"/>
  <c r="AY13" i="11"/>
  <c r="AX13" i="11"/>
  <c r="AJ8" i="11"/>
  <c r="BH14" i="11" a="1"/>
  <c r="AQ7" i="11"/>
  <c r="AR7" i="11" s="1"/>
  <c r="AS7" i="11" s="1"/>
  <c r="BA8" i="11"/>
  <c r="BB8" i="11" s="1"/>
  <c r="BC8" i="11" s="1"/>
  <c r="AM186" i="11" a="1"/>
  <c r="AO186" i="11" s="1"/>
  <c r="BH25" i="11"/>
  <c r="AW26" i="11"/>
  <c r="AQ8" i="11"/>
  <c r="AR8" i="11" s="1"/>
  <c r="AS8" i="11" s="1"/>
  <c r="AM211" i="11" a="1"/>
  <c r="AN211" i="11" s="1"/>
  <c r="AM187" i="11" a="1"/>
  <c r="AM212" i="11" a="1"/>
  <c r="D18" i="11"/>
  <c r="F18" i="11" l="1"/>
  <c r="C19" i="11"/>
  <c r="B20" i="11"/>
  <c r="G20" i="11" s="1"/>
  <c r="BJ13" i="11"/>
  <c r="BK13" i="11"/>
  <c r="D19" i="11"/>
  <c r="E19" i="11"/>
  <c r="AN186" i="11"/>
  <c r="AN13" i="11" a="1"/>
  <c r="AN13" i="11" s="1"/>
  <c r="AM186" i="11"/>
  <c r="AW14" i="11" a="1"/>
  <c r="AZ14" i="11" s="1"/>
  <c r="AM14" i="11" a="1"/>
  <c r="AP14" i="11" s="1"/>
  <c r="BI14" i="11"/>
  <c r="BK14" i="11"/>
  <c r="BJ14" i="11"/>
  <c r="BH14" i="11"/>
  <c r="AO211" i="11"/>
  <c r="BH26" i="11"/>
  <c r="AW27" i="11"/>
  <c r="AM211" i="11"/>
  <c r="AM187" i="11"/>
  <c r="AO187" i="11"/>
  <c r="AN187" i="11"/>
  <c r="AM212" i="11"/>
  <c r="AN212" i="11"/>
  <c r="AO212" i="11"/>
  <c r="C20" i="11" l="1"/>
  <c r="F19" i="11"/>
  <c r="B21" i="11"/>
  <c r="G21" i="11" s="1"/>
  <c r="E20" i="11"/>
  <c r="D20" i="11"/>
  <c r="F20" i="11" s="1"/>
  <c r="AP13" i="11"/>
  <c r="G22" i="11"/>
  <c r="AV11" i="11"/>
  <c r="AO13" i="11"/>
  <c r="AX14" i="11"/>
  <c r="AY14" i="11"/>
  <c r="AW14" i="11"/>
  <c r="AN14" i="11"/>
  <c r="AO14" i="11"/>
  <c r="AM14" i="11"/>
  <c r="BH27" i="11"/>
  <c r="AW28" i="11"/>
  <c r="C21" i="11" l="1"/>
  <c r="D21" i="11"/>
  <c r="E21" i="11"/>
  <c r="BI10" i="11"/>
  <c r="BO10" i="11" s="1"/>
  <c r="BI11" i="11"/>
  <c r="BO11" i="11" s="1"/>
  <c r="AN203" i="11"/>
  <c r="AS203" i="11" s="1"/>
  <c r="AN180" i="11"/>
  <c r="AS180" i="11" s="1"/>
  <c r="AN204" i="11"/>
  <c r="AX9" i="11"/>
  <c r="BD9" i="11" s="1"/>
  <c r="AX11" i="11"/>
  <c r="BD11" i="11" s="1"/>
  <c r="BI6" i="11"/>
  <c r="BO6" i="11" s="1"/>
  <c r="BI5" i="11"/>
  <c r="AN179" i="11"/>
  <c r="AN206" i="11"/>
  <c r="AS206" i="11" s="1"/>
  <c r="AX6" i="11"/>
  <c r="BD6" i="11" s="1"/>
  <c r="AN178" i="11"/>
  <c r="AS178" i="11" s="1"/>
  <c r="BI7" i="11"/>
  <c r="BO7" i="11" s="1"/>
  <c r="AN181" i="11"/>
  <c r="AS181" i="11" s="1"/>
  <c r="AN208" i="11"/>
  <c r="AS208" i="11" s="1"/>
  <c r="AX8" i="11"/>
  <c r="BD8" i="11" s="1"/>
  <c r="AX10" i="11"/>
  <c r="BD10" i="11" s="1"/>
  <c r="BI8" i="11"/>
  <c r="BO8" i="11" s="1"/>
  <c r="AN209" i="11"/>
  <c r="AS209" i="11" s="1"/>
  <c r="AX5" i="11"/>
  <c r="BI9" i="11"/>
  <c r="BO9" i="11" s="1"/>
  <c r="AN207" i="11"/>
  <c r="AS207" i="11" s="1"/>
  <c r="AN205" i="11"/>
  <c r="AS205" i="11" s="1"/>
  <c r="AX7" i="11"/>
  <c r="BD7" i="11" s="1"/>
  <c r="BH28" i="11"/>
  <c r="AW29" i="11"/>
  <c r="F21" i="11" l="1"/>
  <c r="AM194" i="11"/>
  <c r="AN194" i="11"/>
  <c r="AS179" i="11"/>
  <c r="BC14" i="11"/>
  <c r="BC15" i="11" s="1"/>
  <c r="BD5" i="11"/>
  <c r="BN14" i="11"/>
  <c r="BN15" i="11" s="1"/>
  <c r="BO5" i="11"/>
  <c r="AS204" i="11"/>
  <c r="AN219" i="11"/>
  <c r="AM219" i="11"/>
  <c r="BH29" i="11"/>
  <c r="AW30" i="11"/>
  <c r="AM221" i="11" l="1"/>
  <c r="AN221" i="11"/>
  <c r="AN196" i="11"/>
  <c r="AM196" i="11"/>
  <c r="BH30" i="11"/>
  <c r="AW31" i="11"/>
  <c r="D17" i="11"/>
  <c r="F17" i="11" s="1"/>
  <c r="A17" i="11"/>
  <c r="AC17" i="11" s="1"/>
  <c r="BH9" i="11" l="1"/>
  <c r="BJ9" i="11" s="1"/>
  <c r="BK9" i="11" s="1"/>
  <c r="BG9" i="11"/>
  <c r="BH31" i="11"/>
  <c r="AW32" i="11"/>
  <c r="AO9" i="11"/>
  <c r="AJ9" i="11" s="1"/>
  <c r="AW9" i="11"/>
  <c r="AY9" i="11" s="1"/>
  <c r="AZ9" i="11" s="1"/>
  <c r="AM9" i="11"/>
  <c r="A18" i="11"/>
  <c r="AC18" i="11" s="1"/>
  <c r="AN182" i="11"/>
  <c r="AS182" i="11" s="1"/>
  <c r="AL9" i="11"/>
  <c r="AL207" i="11"/>
  <c r="AP207" i="11" s="1"/>
  <c r="AL182" i="11"/>
  <c r="AP182" i="11" s="1"/>
  <c r="AN9" i="11"/>
  <c r="AM207" i="11"/>
  <c r="AO207" i="11" s="1"/>
  <c r="AM182" i="11"/>
  <c r="AO182" i="11" s="1"/>
  <c r="BG10" i="11" l="1"/>
  <c r="BH10" i="11"/>
  <c r="BJ10" i="11" s="1"/>
  <c r="BK10" i="11" s="1"/>
  <c r="BL10" i="11" s="1"/>
  <c r="BM10" i="11" s="1"/>
  <c r="BN10" i="11" s="1"/>
  <c r="AP9" i="11"/>
  <c r="AQ9" i="11" s="1"/>
  <c r="AR9" i="11" s="1"/>
  <c r="AS9" i="11" s="1"/>
  <c r="BL9" i="11"/>
  <c r="BM9" i="11" s="1"/>
  <c r="BN9" i="11" s="1"/>
  <c r="BH32" i="11"/>
  <c r="AW33" i="11"/>
  <c r="BA9" i="11"/>
  <c r="BB9" i="11" s="1"/>
  <c r="BC9" i="11" s="1"/>
  <c r="AL10" i="11"/>
  <c r="AW10" i="11"/>
  <c r="AY10" i="11" s="1"/>
  <c r="AZ10" i="11" s="1"/>
  <c r="AM188" i="11" a="1"/>
  <c r="AM189" i="11" a="1"/>
  <c r="AM214" i="11" a="1"/>
  <c r="A19" i="11"/>
  <c r="AC19" i="11" s="1"/>
  <c r="AM10" i="11"/>
  <c r="AN10" i="11"/>
  <c r="AL208" i="11"/>
  <c r="AP208" i="11" s="1"/>
  <c r="AQ208" i="11" s="1"/>
  <c r="AR208" i="11" s="1"/>
  <c r="AM183" i="11"/>
  <c r="AO183" i="11" s="1"/>
  <c r="AL183" i="11"/>
  <c r="AP183" i="11" s="1"/>
  <c r="AQ183" i="11" s="1"/>
  <c r="AR183" i="11" s="1"/>
  <c r="AO10" i="11"/>
  <c r="AM208" i="11"/>
  <c r="AO208" i="11" s="1"/>
  <c r="AN183" i="11"/>
  <c r="AS183" i="11" s="1"/>
  <c r="AQ182" i="11"/>
  <c r="AR182" i="11" s="1"/>
  <c r="AQ207" i="11"/>
  <c r="AR207" i="11" s="1"/>
  <c r="A20" i="11" l="1"/>
  <c r="AC20" i="11" s="1"/>
  <c r="AV15" i="11" a="1"/>
  <c r="AY15" i="11" s="1"/>
  <c r="BG16" i="11" a="1"/>
  <c r="BI16" i="11" s="1"/>
  <c r="BG15" i="11" a="1"/>
  <c r="BH15" i="11" s="1"/>
  <c r="A21" i="11"/>
  <c r="AC21" i="11" s="1"/>
  <c r="AL15" i="11" a="1"/>
  <c r="AN15" i="11" s="1"/>
  <c r="BH11" i="11"/>
  <c r="BJ11" i="11" s="1"/>
  <c r="BK11" i="11" s="1"/>
  <c r="BL11" i="11" s="1"/>
  <c r="BM11" i="11" s="1"/>
  <c r="BN11" i="11" s="1"/>
  <c r="BG11" i="11"/>
  <c r="BH33" i="11"/>
  <c r="AW34" i="11"/>
  <c r="AM213" i="11" a="1"/>
  <c r="AN213" i="11" s="1"/>
  <c r="BA10" i="11"/>
  <c r="BB10" i="11" s="1"/>
  <c r="BC10" i="11" s="1"/>
  <c r="AV17" i="11" a="1"/>
  <c r="AN11" i="11"/>
  <c r="AW11" i="11"/>
  <c r="AY11" i="11" s="1"/>
  <c r="AZ11" i="11" s="1"/>
  <c r="BA11" i="11" s="1"/>
  <c r="BB11" i="11" s="1"/>
  <c r="BC11" i="11" s="1"/>
  <c r="AP10" i="11"/>
  <c r="AJ10" i="11"/>
  <c r="AM189" i="11"/>
  <c r="AN189" i="11"/>
  <c r="AO189" i="11"/>
  <c r="AM188" i="11"/>
  <c r="AO188" i="11"/>
  <c r="AN188" i="11"/>
  <c r="AM214" i="11"/>
  <c r="AO214" i="11"/>
  <c r="AN214" i="11"/>
  <c r="AM184" i="11"/>
  <c r="AO184" i="11" s="1"/>
  <c r="AL11" i="11"/>
  <c r="A23" i="11"/>
  <c r="AO11" i="11"/>
  <c r="AL184" i="11"/>
  <c r="AP184" i="11" s="1"/>
  <c r="AL209" i="11"/>
  <c r="AP209" i="11" s="1"/>
  <c r="AM209" i="11"/>
  <c r="AO209" i="11" s="1"/>
  <c r="AN184" i="11"/>
  <c r="AS184" i="11" s="1"/>
  <c r="AM11" i="11"/>
  <c r="AQ184" i="11" l="1"/>
  <c r="AR184" i="11" s="1"/>
  <c r="AM190" i="11" a="1"/>
  <c r="BG17" i="11" a="1"/>
  <c r="BI17" i="11" s="1"/>
  <c r="AV16" i="11" a="1"/>
  <c r="AZ16" i="11" s="1"/>
  <c r="AZ19" i="11" s="1"/>
  <c r="BB21" i="11" s="1"/>
  <c r="BK15" i="11"/>
  <c r="BJ16" i="11"/>
  <c r="BG16" i="11"/>
  <c r="AV15" i="11"/>
  <c r="BK16" i="11"/>
  <c r="BH16" i="11"/>
  <c r="AX15" i="11"/>
  <c r="AW15" i="11"/>
  <c r="AZ15" i="11"/>
  <c r="BG15" i="11"/>
  <c r="BI15" i="11"/>
  <c r="BJ15" i="11"/>
  <c r="AO15" i="11"/>
  <c r="AP15" i="11"/>
  <c r="AL15" i="11"/>
  <c r="AM15" i="11"/>
  <c r="BH34" i="11"/>
  <c r="AO213" i="11"/>
  <c r="AM213" i="11"/>
  <c r="AW35" i="11"/>
  <c r="AX17" i="11"/>
  <c r="AV17" i="11"/>
  <c r="AW17" i="11"/>
  <c r="AZ17" i="11"/>
  <c r="AY17" i="11"/>
  <c r="AQ10" i="11"/>
  <c r="AR10" i="11" s="1"/>
  <c r="AS10" i="11" s="1"/>
  <c r="AP11" i="11"/>
  <c r="AQ11" i="11" s="1"/>
  <c r="AR11" i="11" s="1"/>
  <c r="AS11" i="11" s="1"/>
  <c r="AJ11" i="11"/>
  <c r="AQ209" i="11"/>
  <c r="AR209" i="11" s="1"/>
  <c r="AP218" i="11"/>
  <c r="AP220" i="11" s="1"/>
  <c r="BI19" i="11" l="1"/>
  <c r="BK33" i="11" s="1"/>
  <c r="BK17" i="11"/>
  <c r="BK19" i="11" s="1"/>
  <c r="BM39" i="11" s="1"/>
  <c r="AM215" i="11" a="1"/>
  <c r="AW16" i="11"/>
  <c r="AW19" i="11" s="1"/>
  <c r="AY16" i="11"/>
  <c r="AY19" i="11" s="1"/>
  <c r="AX16" i="11"/>
  <c r="AX19" i="11" s="1"/>
  <c r="AZ21" i="11" s="1"/>
  <c r="AV16" i="11"/>
  <c r="AV19" i="11" s="1"/>
  <c r="BH17" i="11"/>
  <c r="BH19" i="11" s="1"/>
  <c r="BJ33" i="11" s="1"/>
  <c r="BG17" i="11"/>
  <c r="BG19" i="11" s="1"/>
  <c r="BI33" i="11" s="1"/>
  <c r="AM190" i="11"/>
  <c r="AM193" i="11" s="1"/>
  <c r="AM197" i="11" s="1"/>
  <c r="AO190" i="11"/>
  <c r="AN190" i="11"/>
  <c r="AN193" i="11" s="1"/>
  <c r="AN197" i="11" s="1"/>
  <c r="BJ17" i="11"/>
  <c r="BJ19" i="11" s="1"/>
  <c r="BL30" i="11" s="1"/>
  <c r="BK22" i="11"/>
  <c r="BK24" i="11"/>
  <c r="BK25" i="11"/>
  <c r="BK29" i="11"/>
  <c r="BK30" i="11"/>
  <c r="BK31" i="11"/>
  <c r="BK32" i="11"/>
  <c r="BM26" i="11"/>
  <c r="BM42" i="11"/>
  <c r="BM86" i="11"/>
  <c r="BM102" i="11"/>
  <c r="BM23" i="11"/>
  <c r="BM99" i="11"/>
  <c r="BM21" i="11"/>
  <c r="BM32" i="11"/>
  <c r="BM48" i="11"/>
  <c r="BM92" i="11"/>
  <c r="BM85" i="11"/>
  <c r="BM113" i="11"/>
  <c r="BM30" i="11"/>
  <c r="BM46" i="11"/>
  <c r="BM90" i="11"/>
  <c r="BM106" i="11"/>
  <c r="BM27" i="11"/>
  <c r="BM43" i="11"/>
  <c r="BM87" i="11"/>
  <c r="BM103" i="11"/>
  <c r="BM25" i="11"/>
  <c r="BM49" i="11"/>
  <c r="BM109" i="11"/>
  <c r="BM36" i="11"/>
  <c r="BM80" i="11"/>
  <c r="BM96" i="11"/>
  <c r="BM112" i="11"/>
  <c r="BM93" i="11"/>
  <c r="BM38" i="11"/>
  <c r="BM98" i="11"/>
  <c r="BM35" i="11"/>
  <c r="BM79" i="11"/>
  <c r="BM95" i="11"/>
  <c r="BM37" i="11"/>
  <c r="BM28" i="11"/>
  <c r="BM88" i="11"/>
  <c r="BM104" i="11"/>
  <c r="BM105" i="11"/>
  <c r="BM34" i="11"/>
  <c r="BM78" i="11"/>
  <c r="BM94" i="11"/>
  <c r="BM110" i="11"/>
  <c r="BM31" i="11"/>
  <c r="BM47" i="11"/>
  <c r="BM91" i="11"/>
  <c r="BM107" i="11"/>
  <c r="BM29" i="11"/>
  <c r="BM81" i="11"/>
  <c r="BM24" i="11"/>
  <c r="BM40" i="11"/>
  <c r="BM84" i="11"/>
  <c r="BM100" i="11"/>
  <c r="BM33" i="11"/>
  <c r="BM101" i="11"/>
  <c r="BM22" i="11"/>
  <c r="BM82" i="11"/>
  <c r="BM114" i="11"/>
  <c r="BM111" i="11"/>
  <c r="BM89" i="11"/>
  <c r="BM44" i="11"/>
  <c r="BM45" i="11"/>
  <c r="AZ34" i="11"/>
  <c r="BA21" i="11"/>
  <c r="BH35" i="11"/>
  <c r="BK34" i="11"/>
  <c r="BJ34" i="11"/>
  <c r="BA34" i="11"/>
  <c r="BA22" i="11"/>
  <c r="BA23" i="11"/>
  <c r="BA24" i="11"/>
  <c r="BA25" i="11"/>
  <c r="BA26" i="11"/>
  <c r="BA27" i="11"/>
  <c r="BA28" i="11"/>
  <c r="BA29" i="11"/>
  <c r="BA30" i="11"/>
  <c r="BA31" i="11"/>
  <c r="BA32" i="11"/>
  <c r="BA33" i="11"/>
  <c r="BB37" i="11"/>
  <c r="BB42" i="11"/>
  <c r="BB46" i="11"/>
  <c r="BB78" i="11"/>
  <c r="BB82" i="11"/>
  <c r="BB86" i="11"/>
  <c r="BB90" i="11"/>
  <c r="BB94" i="11"/>
  <c r="BB98" i="11"/>
  <c r="BB102" i="11"/>
  <c r="BB106" i="11"/>
  <c r="BB110" i="11"/>
  <c r="BB114" i="11"/>
  <c r="BB41" i="11"/>
  <c r="BB81" i="11"/>
  <c r="BB89" i="11"/>
  <c r="BB97" i="11"/>
  <c r="BB109" i="11"/>
  <c r="BB39" i="11"/>
  <c r="BB43" i="11"/>
  <c r="BB47" i="11"/>
  <c r="BB79" i="11"/>
  <c r="BB83" i="11"/>
  <c r="BB87" i="11"/>
  <c r="BB91" i="11"/>
  <c r="BB95" i="11"/>
  <c r="BB99" i="11"/>
  <c r="BB103" i="11"/>
  <c r="BB107" i="11"/>
  <c r="BB111" i="11"/>
  <c r="BB45" i="11"/>
  <c r="BB85" i="11"/>
  <c r="BB105" i="11"/>
  <c r="BB38" i="11"/>
  <c r="BB40" i="11"/>
  <c r="BB44" i="11"/>
  <c r="BB48" i="11"/>
  <c r="BB80" i="11"/>
  <c r="BB84" i="11"/>
  <c r="BB88" i="11"/>
  <c r="BB92" i="11"/>
  <c r="BB96" i="11"/>
  <c r="BB100" i="11"/>
  <c r="BB104" i="11"/>
  <c r="BB108" i="11"/>
  <c r="BB112" i="11"/>
  <c r="BB49" i="11"/>
  <c r="BB93" i="11"/>
  <c r="BB101" i="11"/>
  <c r="BB113" i="11"/>
  <c r="BB34" i="11"/>
  <c r="BB35" i="11"/>
  <c r="BB36" i="11"/>
  <c r="BB22" i="11"/>
  <c r="BB23" i="11"/>
  <c r="BB24" i="11"/>
  <c r="BB25" i="11"/>
  <c r="BB30" i="11"/>
  <c r="BB31" i="11"/>
  <c r="BB32" i="11"/>
  <c r="BB33" i="11"/>
  <c r="BB26" i="11"/>
  <c r="BB27" i="11"/>
  <c r="BB28" i="11"/>
  <c r="BB29" i="11"/>
  <c r="AZ22" i="11"/>
  <c r="AZ23" i="11"/>
  <c r="AZ24" i="11"/>
  <c r="AZ25" i="11"/>
  <c r="AZ26" i="11"/>
  <c r="AZ27" i="11"/>
  <c r="AZ28" i="11"/>
  <c r="AZ29" i="11"/>
  <c r="AZ30" i="11"/>
  <c r="AZ31" i="11"/>
  <c r="AZ32" i="11"/>
  <c r="AZ33" i="11"/>
  <c r="AY21" i="11"/>
  <c r="AY22" i="11"/>
  <c r="AY23" i="11"/>
  <c r="AY24" i="11"/>
  <c r="AY25" i="11"/>
  <c r="AY26" i="11"/>
  <c r="AY27" i="11"/>
  <c r="AY28" i="11"/>
  <c r="AY29" i="11"/>
  <c r="AY30" i="11"/>
  <c r="AY31" i="11"/>
  <c r="AY32" i="11"/>
  <c r="AY33" i="11"/>
  <c r="AW36" i="11"/>
  <c r="AW37" i="11" s="1"/>
  <c r="AW38" i="11" s="1"/>
  <c r="AW39" i="11" s="1"/>
  <c r="AW40" i="11" s="1"/>
  <c r="AW41" i="11" s="1"/>
  <c r="AW42" i="11" s="1"/>
  <c r="AW43" i="11" s="1"/>
  <c r="AW44" i="11" s="1"/>
  <c r="AW45" i="11" s="1"/>
  <c r="AW46" i="11" s="1"/>
  <c r="AW47" i="11" s="1"/>
  <c r="AW48" i="11" s="1"/>
  <c r="AW49" i="11" s="1"/>
  <c r="AW78" i="11" s="1"/>
  <c r="AW79" i="11" s="1"/>
  <c r="AW80" i="11" s="1"/>
  <c r="AW81" i="11" s="1"/>
  <c r="AW82" i="11" s="1"/>
  <c r="AW83" i="11" s="1"/>
  <c r="AW84" i="11" s="1"/>
  <c r="AW85" i="11" s="1"/>
  <c r="AW86" i="11" s="1"/>
  <c r="BA35" i="11"/>
  <c r="AX35" i="11"/>
  <c r="AY35" i="11"/>
  <c r="AZ35" i="11"/>
  <c r="AX21" i="11"/>
  <c r="AX22" i="11"/>
  <c r="AX23" i="11"/>
  <c r="AX24" i="11"/>
  <c r="AX25" i="11"/>
  <c r="AX26" i="11"/>
  <c r="AX27" i="11"/>
  <c r="AX28" i="11"/>
  <c r="AX29" i="11"/>
  <c r="AX30" i="11"/>
  <c r="AX31" i="11"/>
  <c r="AX32" i="11"/>
  <c r="AX33" i="11"/>
  <c r="AX34" i="11"/>
  <c r="AY34" i="11"/>
  <c r="AL16" i="11" a="1"/>
  <c r="AN16" i="11" s="1"/>
  <c r="AL17" i="11" a="1"/>
  <c r="AO17" i="11" s="1"/>
  <c r="AP222" i="11"/>
  <c r="AO193" i="11"/>
  <c r="AO195" i="11" s="1"/>
  <c r="AM195" i="11" l="1"/>
  <c r="BK26" i="11"/>
  <c r="BM108" i="11"/>
  <c r="BJ23" i="11"/>
  <c r="BJ22" i="11"/>
  <c r="BI25" i="11"/>
  <c r="BK28" i="11"/>
  <c r="BK27" i="11"/>
  <c r="BM97" i="11"/>
  <c r="BM83" i="11"/>
  <c r="BM41" i="11"/>
  <c r="BI34" i="11"/>
  <c r="BJ21" i="11"/>
  <c r="BI32" i="11"/>
  <c r="BL27" i="11"/>
  <c r="BI31" i="11"/>
  <c r="BL26" i="11"/>
  <c r="BJ32" i="11"/>
  <c r="BJ29" i="11"/>
  <c r="BJ28" i="11"/>
  <c r="BJ26" i="11"/>
  <c r="BL25" i="11"/>
  <c r="BL33" i="11"/>
  <c r="BG33" i="11" s="1"/>
  <c r="BL22" i="11"/>
  <c r="BI30" i="11"/>
  <c r="BI29" i="11"/>
  <c r="BJ31" i="11"/>
  <c r="BI28" i="11"/>
  <c r="BJ30" i="11"/>
  <c r="BI27" i="11"/>
  <c r="BI26" i="11"/>
  <c r="AN215" i="11"/>
  <c r="AN218" i="11" s="1"/>
  <c r="AO215" i="11"/>
  <c r="AO218" i="11" s="1"/>
  <c r="AM215" i="11"/>
  <c r="AM218" i="11" s="1"/>
  <c r="BJ27" i="11"/>
  <c r="BI24" i="11"/>
  <c r="BI23" i="11"/>
  <c r="BJ25" i="11"/>
  <c r="BL29" i="11"/>
  <c r="BK23" i="11"/>
  <c r="BL34" i="11"/>
  <c r="BJ24" i="11"/>
  <c r="BL28" i="11"/>
  <c r="BK21" i="11"/>
  <c r="BL24" i="11"/>
  <c r="BL23" i="11"/>
  <c r="BL21" i="11"/>
  <c r="BI22" i="11"/>
  <c r="BI21" i="11"/>
  <c r="BL32" i="11"/>
  <c r="BL31" i="11"/>
  <c r="AV29" i="11"/>
  <c r="AV25" i="11"/>
  <c r="AV21" i="11"/>
  <c r="BA41" i="11"/>
  <c r="AZ48" i="11"/>
  <c r="AY45" i="11"/>
  <c r="BA82" i="11"/>
  <c r="BA48" i="11"/>
  <c r="BA39" i="11"/>
  <c r="AX47" i="11"/>
  <c r="AY49" i="11"/>
  <c r="AZ44" i="11"/>
  <c r="AY85" i="11"/>
  <c r="AY41" i="11"/>
  <c r="BA84" i="11"/>
  <c r="BA78" i="11"/>
  <c r="AX43" i="11"/>
  <c r="AX79" i="11"/>
  <c r="AV33" i="11"/>
  <c r="AZ40" i="11"/>
  <c r="AY81" i="11"/>
  <c r="AY38" i="11"/>
  <c r="BA45" i="11"/>
  <c r="AX83" i="11"/>
  <c r="AX39" i="11"/>
  <c r="AZ86" i="11"/>
  <c r="AW87" i="11"/>
  <c r="AZ85" i="11"/>
  <c r="AZ83" i="11"/>
  <c r="AZ81" i="11"/>
  <c r="AZ79" i="11"/>
  <c r="AZ49" i="11"/>
  <c r="AZ47" i="11"/>
  <c r="AZ43" i="11"/>
  <c r="AZ39" i="11"/>
  <c r="AX86" i="11"/>
  <c r="AY84" i="11"/>
  <c r="AY80" i="11"/>
  <c r="AY48" i="11"/>
  <c r="AY44" i="11"/>
  <c r="AY40" i="11"/>
  <c r="BA79" i="11"/>
  <c r="BA44" i="11"/>
  <c r="BA40" i="11"/>
  <c r="AX82" i="11"/>
  <c r="AX78" i="11"/>
  <c r="AX46" i="11"/>
  <c r="AX42" i="11"/>
  <c r="AX38" i="11"/>
  <c r="BH36" i="11"/>
  <c r="BL35" i="11"/>
  <c r="BI35" i="11"/>
  <c r="BJ35" i="11"/>
  <c r="BK35" i="11"/>
  <c r="AZ82" i="11"/>
  <c r="AZ80" i="11"/>
  <c r="AZ46" i="11"/>
  <c r="AZ42" i="11"/>
  <c r="AZ37" i="11"/>
  <c r="AY83" i="11"/>
  <c r="AY79" i="11"/>
  <c r="AY47" i="11"/>
  <c r="AY43" i="11"/>
  <c r="AY39" i="11"/>
  <c r="BA85" i="11"/>
  <c r="BA83" i="11"/>
  <c r="BA81" i="11"/>
  <c r="BA49" i="11"/>
  <c r="BA47" i="11"/>
  <c r="BA43" i="11"/>
  <c r="BA37" i="11"/>
  <c r="AX85" i="11"/>
  <c r="AX81" i="11"/>
  <c r="AX49" i="11"/>
  <c r="AX45" i="11"/>
  <c r="AX41" i="11"/>
  <c r="AX37" i="11"/>
  <c r="AZ84" i="11"/>
  <c r="AZ78" i="11"/>
  <c r="AZ45" i="11"/>
  <c r="AZ41" i="11"/>
  <c r="AZ38" i="11"/>
  <c r="AY86" i="11"/>
  <c r="AY82" i="11"/>
  <c r="AY78" i="11"/>
  <c r="AY46" i="11"/>
  <c r="AY42" i="11"/>
  <c r="AY37" i="11"/>
  <c r="BA80" i="11"/>
  <c r="BA46" i="11"/>
  <c r="BA42" i="11"/>
  <c r="BA38" i="11"/>
  <c r="AX84" i="11"/>
  <c r="AX80" i="11"/>
  <c r="AX48" i="11"/>
  <c r="AX44" i="11"/>
  <c r="AX40" i="11"/>
  <c r="BA86" i="11"/>
  <c r="AP17" i="11"/>
  <c r="AV34" i="11"/>
  <c r="AV30" i="11"/>
  <c r="AV26" i="11"/>
  <c r="AV22" i="11"/>
  <c r="AV35" i="11"/>
  <c r="AV32" i="11"/>
  <c r="AV28" i="11"/>
  <c r="AV24" i="11"/>
  <c r="AZ36" i="11"/>
  <c r="AX36" i="11"/>
  <c r="AY36" i="11"/>
  <c r="BA36" i="11"/>
  <c r="AV31" i="11"/>
  <c r="AV27" i="11"/>
  <c r="AV23" i="11"/>
  <c r="AL17" i="11"/>
  <c r="AN17" i="11"/>
  <c r="AN19" i="11" s="1"/>
  <c r="AM17" i="11"/>
  <c r="AM16" i="11"/>
  <c r="AL16" i="11"/>
  <c r="AL19" i="11" s="1"/>
  <c r="AO16" i="11"/>
  <c r="AO19" i="11" s="1"/>
  <c r="AQ43" i="11" s="1"/>
  <c r="AP16" i="11"/>
  <c r="AO197" i="11"/>
  <c r="AQ197" i="11" s="1"/>
  <c r="AN195" i="11"/>
  <c r="BG32" i="11" l="1"/>
  <c r="AM19" i="11"/>
  <c r="AM170" i="11" s="1"/>
  <c r="BG25" i="11"/>
  <c r="BG29" i="11"/>
  <c r="BG34" i="11"/>
  <c r="BG30" i="11"/>
  <c r="BG21" i="11"/>
  <c r="BG28" i="11"/>
  <c r="BG31" i="11"/>
  <c r="BG26" i="11"/>
  <c r="BG27" i="11"/>
  <c r="BG24" i="11"/>
  <c r="BG22" i="11"/>
  <c r="AM220" i="11"/>
  <c r="AM222" i="11"/>
  <c r="AO220" i="11"/>
  <c r="AO222" i="11"/>
  <c r="AN220" i="11"/>
  <c r="AN222" i="11"/>
  <c r="BG23" i="11"/>
  <c r="AP28" i="11"/>
  <c r="AP30" i="11"/>
  <c r="AP34" i="11"/>
  <c r="AP42" i="11"/>
  <c r="AP36" i="11"/>
  <c r="AP32" i="11"/>
  <c r="AP24" i="11"/>
  <c r="AP37" i="11"/>
  <c r="AN170" i="11"/>
  <c r="AP39" i="11"/>
  <c r="AP38" i="11"/>
  <c r="AP41" i="11"/>
  <c r="AP21" i="11"/>
  <c r="AP27" i="11"/>
  <c r="AP43" i="11"/>
  <c r="AP29" i="11"/>
  <c r="AP25" i="11"/>
  <c r="AP22" i="11"/>
  <c r="AP33" i="11"/>
  <c r="AP26" i="11"/>
  <c r="AP40" i="11"/>
  <c r="AP23" i="11"/>
  <c r="AP31" i="11"/>
  <c r="AP35" i="11"/>
  <c r="AP19" i="11"/>
  <c r="AR37" i="11" s="1"/>
  <c r="AV85" i="11"/>
  <c r="AV42" i="11"/>
  <c r="AV80" i="11"/>
  <c r="AV38" i="11"/>
  <c r="AV43" i="11"/>
  <c r="AV82" i="11"/>
  <c r="AV41" i="11"/>
  <c r="AV48" i="11"/>
  <c r="AV39" i="11"/>
  <c r="AV49" i="11"/>
  <c r="AV47" i="11"/>
  <c r="AV44" i="11"/>
  <c r="AV45" i="11"/>
  <c r="AV37" i="11"/>
  <c r="AV81" i="11"/>
  <c r="AV79" i="11"/>
  <c r="AV46" i="11"/>
  <c r="AV40" i="11"/>
  <c r="AV84" i="11"/>
  <c r="AV83" i="11"/>
  <c r="AV78" i="11"/>
  <c r="BG35" i="11"/>
  <c r="AV86" i="11"/>
  <c r="AX87" i="11"/>
  <c r="BA87" i="11"/>
  <c r="AY87" i="11"/>
  <c r="AZ87" i="11"/>
  <c r="AW88" i="11"/>
  <c r="BH37" i="11"/>
  <c r="BJ36" i="11"/>
  <c r="BK36" i="11"/>
  <c r="BI36" i="11"/>
  <c r="BL36" i="11"/>
  <c r="AV36" i="11"/>
  <c r="AO40" i="11"/>
  <c r="AO42" i="11"/>
  <c r="AO33" i="11"/>
  <c r="AO36" i="11"/>
  <c r="AO35" i="11"/>
  <c r="AO28" i="11"/>
  <c r="AO27" i="11"/>
  <c r="AO25" i="11"/>
  <c r="AO34" i="11"/>
  <c r="AO24" i="11"/>
  <c r="AO41" i="11"/>
  <c r="AO31" i="11"/>
  <c r="AO21" i="11"/>
  <c r="AO37" i="11"/>
  <c r="AO22" i="11"/>
  <c r="AO38" i="11"/>
  <c r="AO29" i="11"/>
  <c r="AO30" i="11"/>
  <c r="AO43" i="11"/>
  <c r="AO26" i="11"/>
  <c r="AO32" i="11"/>
  <c r="AO39" i="11"/>
  <c r="AO23" i="11"/>
  <c r="AN41" i="11"/>
  <c r="AN24" i="11"/>
  <c r="AN28" i="11"/>
  <c r="AN32" i="11"/>
  <c r="AN36" i="11"/>
  <c r="AN40" i="11"/>
  <c r="AL170" i="11"/>
  <c r="AO170" i="11" s="1"/>
  <c r="AN22" i="11"/>
  <c r="AN25" i="11"/>
  <c r="AN29" i="11"/>
  <c r="AN33" i="11"/>
  <c r="AN37" i="11"/>
  <c r="AN21" i="11"/>
  <c r="AN30" i="11"/>
  <c r="AN38" i="11"/>
  <c r="AN35" i="11"/>
  <c r="AN42" i="11"/>
  <c r="AN23" i="11"/>
  <c r="AN31" i="11"/>
  <c r="AN39" i="11"/>
  <c r="AN26" i="11"/>
  <c r="AN34" i="11"/>
  <c r="AN27" i="11"/>
  <c r="AN43" i="11"/>
  <c r="AQ21" i="11"/>
  <c r="AQ25" i="11"/>
  <c r="AQ29" i="11"/>
  <c r="AQ33" i="11"/>
  <c r="AQ37" i="11"/>
  <c r="AQ22" i="11"/>
  <c r="AQ26" i="11"/>
  <c r="AQ30" i="11"/>
  <c r="AQ34" i="11"/>
  <c r="AQ38" i="11"/>
  <c r="AQ41" i="11"/>
  <c r="AQ23" i="11"/>
  <c r="AQ27" i="11"/>
  <c r="AQ31" i="11"/>
  <c r="AQ35" i="11"/>
  <c r="AQ24" i="11"/>
  <c r="AQ39" i="11"/>
  <c r="AQ42" i="11"/>
  <c r="AQ28" i="11"/>
  <c r="AQ40" i="11"/>
  <c r="AQ32" i="11"/>
  <c r="AQ36" i="11"/>
  <c r="AP44" i="11"/>
  <c r="AQ44" i="11"/>
  <c r="AN44" i="11"/>
  <c r="AO44" i="11"/>
  <c r="AQ195" i="11"/>
  <c r="AR96" i="11" l="1"/>
  <c r="AR103" i="11"/>
  <c r="AR95" i="11"/>
  <c r="AR80" i="11"/>
  <c r="AR42" i="11"/>
  <c r="AR93" i="11"/>
  <c r="AR97" i="11"/>
  <c r="AR28" i="11"/>
  <c r="AL28" i="11" s="1"/>
  <c r="AR89" i="11"/>
  <c r="AR48" i="11"/>
  <c r="AR41" i="11"/>
  <c r="AL41" i="11" s="1"/>
  <c r="AR109" i="11"/>
  <c r="AR99" i="11"/>
  <c r="AR29" i="11"/>
  <c r="AL29" i="11" s="1"/>
  <c r="AR100" i="11"/>
  <c r="AR40" i="11"/>
  <c r="AL40" i="11" s="1"/>
  <c r="AR81" i="11"/>
  <c r="AR46" i="11"/>
  <c r="AR24" i="11"/>
  <c r="AL24" i="11" s="1"/>
  <c r="AR101" i="11"/>
  <c r="AR31" i="11"/>
  <c r="AL31" i="11" s="1"/>
  <c r="AR34" i="11"/>
  <c r="AL34" i="11" s="1"/>
  <c r="AR98" i="11"/>
  <c r="AR21" i="11"/>
  <c r="AL21" i="11" s="1"/>
  <c r="AR25" i="11"/>
  <c r="AL25" i="11" s="1"/>
  <c r="AR23" i="11"/>
  <c r="AL23" i="11" s="1"/>
  <c r="AR84" i="11"/>
  <c r="AR110" i="11"/>
  <c r="AR85" i="11"/>
  <c r="AR112" i="11"/>
  <c r="AR78" i="11"/>
  <c r="AR87" i="11"/>
  <c r="AR90" i="11"/>
  <c r="AR91" i="11"/>
  <c r="AR82" i="11"/>
  <c r="AR26" i="11"/>
  <c r="AL26" i="11" s="1"/>
  <c r="AR108" i="11"/>
  <c r="AR35" i="11"/>
  <c r="AL35" i="11" s="1"/>
  <c r="AR33" i="11"/>
  <c r="AL33" i="11" s="1"/>
  <c r="AR114" i="11"/>
  <c r="AR94" i="11"/>
  <c r="AR49" i="11"/>
  <c r="AR47" i="11"/>
  <c r="AR104" i="11"/>
  <c r="AR88" i="11"/>
  <c r="AR30" i="11"/>
  <c r="AL30" i="11" s="1"/>
  <c r="AR106" i="11"/>
  <c r="AR32" i="11"/>
  <c r="AL32" i="11" s="1"/>
  <c r="AR22" i="11"/>
  <c r="AL22" i="11" s="1"/>
  <c r="AR107" i="11"/>
  <c r="AR38" i="11"/>
  <c r="AL38" i="11" s="1"/>
  <c r="AR79" i="11"/>
  <c r="AR113" i="11"/>
  <c r="AR43" i="11"/>
  <c r="AL43" i="11" s="1"/>
  <c r="AQ222" i="11"/>
  <c r="AQ220" i="11"/>
  <c r="AR44" i="11"/>
  <c r="AL44" i="11" s="1"/>
  <c r="AR105" i="11"/>
  <c r="AR36" i="11"/>
  <c r="AL36" i="11" s="1"/>
  <c r="AR92" i="11"/>
  <c r="AR86" i="11"/>
  <c r="AR102" i="11"/>
  <c r="AR83" i="11"/>
  <c r="AR39" i="11"/>
  <c r="AL39" i="11" s="1"/>
  <c r="AR27" i="11"/>
  <c r="AL27" i="11" s="1"/>
  <c r="AR45" i="11"/>
  <c r="AR111" i="11"/>
  <c r="BG36" i="11"/>
  <c r="BA88" i="11"/>
  <c r="AW89" i="11"/>
  <c r="AY88" i="11"/>
  <c r="AX88" i="11"/>
  <c r="AZ88" i="11"/>
  <c r="AV87" i="11"/>
  <c r="BH38" i="11"/>
  <c r="BI37" i="11"/>
  <c r="BJ37" i="11"/>
  <c r="BK37" i="11"/>
  <c r="BL37" i="11"/>
  <c r="AL37" i="11"/>
  <c r="AL42" i="11"/>
  <c r="AO45" i="11"/>
  <c r="AN45" i="11"/>
  <c r="AP45" i="11"/>
  <c r="AQ45" i="11"/>
  <c r="AX89" i="11" l="1"/>
  <c r="AZ89" i="11"/>
  <c r="AY89" i="11"/>
  <c r="BA89" i="11"/>
  <c r="AW90" i="11"/>
  <c r="BH39" i="11"/>
  <c r="BL38" i="11"/>
  <c r="BI38" i="11"/>
  <c r="BK38" i="11"/>
  <c r="BJ38" i="11"/>
  <c r="BG37" i="11"/>
  <c r="AV88" i="11"/>
  <c r="AL45" i="11"/>
  <c r="AN46" i="11"/>
  <c r="AP46" i="11"/>
  <c r="AQ46" i="11"/>
  <c r="AO46" i="11"/>
  <c r="BG38" i="11" l="1"/>
  <c r="BH40" i="11"/>
  <c r="BL39" i="11"/>
  <c r="BK39" i="11"/>
  <c r="BI39" i="11"/>
  <c r="BJ39" i="11"/>
  <c r="AY90" i="11"/>
  <c r="AZ90" i="11"/>
  <c r="AW91" i="11"/>
  <c r="BA90" i="11"/>
  <c r="AX90" i="11"/>
  <c r="AV89" i="11"/>
  <c r="AQ47" i="11"/>
  <c r="AP47" i="11"/>
  <c r="AN47" i="11"/>
  <c r="AO47" i="11"/>
  <c r="AL46" i="11"/>
  <c r="BG39" i="11" l="1"/>
  <c r="AZ91" i="11"/>
  <c r="AW92" i="11"/>
  <c r="BA91" i="11"/>
  <c r="AX91" i="11"/>
  <c r="AY91" i="11"/>
  <c r="AV90" i="11"/>
  <c r="BH41" i="11"/>
  <c r="BK40" i="11"/>
  <c r="BL40" i="11"/>
  <c r="BJ40" i="11"/>
  <c r="BI40" i="11"/>
  <c r="AL47" i="11"/>
  <c r="AQ48" i="11"/>
  <c r="AP48" i="11"/>
  <c r="AN48" i="11"/>
  <c r="AO48" i="11"/>
  <c r="AV91" i="11" l="1"/>
  <c r="BG40" i="11"/>
  <c r="BH42" i="11"/>
  <c r="BL41" i="11"/>
  <c r="BK41" i="11"/>
  <c r="BI41" i="11"/>
  <c r="BJ41" i="11"/>
  <c r="BA92" i="11"/>
  <c r="AY92" i="11"/>
  <c r="AX92" i="11"/>
  <c r="AZ92" i="11"/>
  <c r="AW93" i="11"/>
  <c r="AL48" i="11"/>
  <c r="AO49" i="11"/>
  <c r="AP49" i="11"/>
  <c r="AQ49" i="11"/>
  <c r="AN49" i="11"/>
  <c r="AZ93" i="11" l="1"/>
  <c r="AY93" i="11"/>
  <c r="AW94" i="11"/>
  <c r="BA93" i="11"/>
  <c r="AX93" i="11"/>
  <c r="BH43" i="11"/>
  <c r="BI42" i="11"/>
  <c r="BL42" i="11"/>
  <c r="BJ42" i="11"/>
  <c r="BK42" i="11"/>
  <c r="AV92" i="11"/>
  <c r="BG41" i="11"/>
  <c r="AL49" i="11"/>
  <c r="AO78" i="11"/>
  <c r="AN78" i="11"/>
  <c r="AP78" i="11"/>
  <c r="AQ78" i="11"/>
  <c r="BG42" i="11" l="1"/>
  <c r="AW95" i="11"/>
  <c r="BA94" i="11"/>
  <c r="AZ94" i="11"/>
  <c r="AX94" i="11"/>
  <c r="AY94" i="11"/>
  <c r="BH44" i="11"/>
  <c r="BI43" i="11"/>
  <c r="BL43" i="11"/>
  <c r="BJ43" i="11"/>
  <c r="BK43" i="11"/>
  <c r="AV93" i="11"/>
  <c r="AL78" i="11"/>
  <c r="AN79" i="11"/>
  <c r="AQ79" i="11"/>
  <c r="AO79" i="11"/>
  <c r="AP79" i="11"/>
  <c r="BG43" i="11" l="1"/>
  <c r="BH45" i="11"/>
  <c r="BL44" i="11"/>
  <c r="BK44" i="11"/>
  <c r="BI44" i="11"/>
  <c r="BJ44" i="11"/>
  <c r="AZ95" i="11"/>
  <c r="AW96" i="11"/>
  <c r="AX95" i="11"/>
  <c r="BA95" i="11"/>
  <c r="AY95" i="11"/>
  <c r="AV94" i="11"/>
  <c r="AL79" i="11"/>
  <c r="AQ80" i="11"/>
  <c r="AP80" i="11"/>
  <c r="AN80" i="11"/>
  <c r="AO80" i="11"/>
  <c r="AV95" i="11" l="1"/>
  <c r="BG44" i="11"/>
  <c r="BA96" i="11"/>
  <c r="AY96" i="11"/>
  <c r="AX96" i="11"/>
  <c r="AZ96" i="11"/>
  <c r="AW97" i="11"/>
  <c r="BH46" i="11"/>
  <c r="BK45" i="11"/>
  <c r="BI45" i="11"/>
  <c r="BL45" i="11"/>
  <c r="BJ45" i="11"/>
  <c r="AL80" i="11"/>
  <c r="AP81" i="11"/>
  <c r="AN81" i="11"/>
  <c r="AQ81" i="11"/>
  <c r="AO81" i="11"/>
  <c r="AV96" i="11" l="1"/>
  <c r="BG45" i="11"/>
  <c r="BH47" i="11"/>
  <c r="BK46" i="11"/>
  <c r="BI46" i="11"/>
  <c r="BJ46" i="11"/>
  <c r="BL46" i="11"/>
  <c r="AZ97" i="11"/>
  <c r="AY97" i="11"/>
  <c r="AW98" i="11"/>
  <c r="BA97" i="11"/>
  <c r="AX97" i="11"/>
  <c r="AL81" i="11"/>
  <c r="AO82" i="11"/>
  <c r="AP82" i="11"/>
  <c r="AQ82" i="11"/>
  <c r="AN82" i="11"/>
  <c r="BG46" i="11" l="1"/>
  <c r="AX98" i="11"/>
  <c r="AY98" i="11"/>
  <c r="AZ98" i="11"/>
  <c r="AW99" i="11"/>
  <c r="BA98" i="11"/>
  <c r="AV97" i="11"/>
  <c r="BH48" i="11"/>
  <c r="BJ47" i="11"/>
  <c r="BL47" i="11"/>
  <c r="BK47" i="11"/>
  <c r="BI47" i="11"/>
  <c r="AN83" i="11"/>
  <c r="AO83" i="11"/>
  <c r="AP83" i="11"/>
  <c r="AQ83" i="11"/>
  <c r="AL82" i="11"/>
  <c r="AX99" i="11" l="1"/>
  <c r="BA99" i="11"/>
  <c r="AY99" i="11"/>
  <c r="AW100" i="11"/>
  <c r="AZ99" i="11"/>
  <c r="BH49" i="11"/>
  <c r="BI48" i="11"/>
  <c r="BK48" i="11"/>
  <c r="BJ48" i="11"/>
  <c r="BL48" i="11"/>
  <c r="BG47" i="11"/>
  <c r="AV98" i="11"/>
  <c r="AL83" i="11"/>
  <c r="AP84" i="11"/>
  <c r="AQ84" i="11"/>
  <c r="AN84" i="11"/>
  <c r="AO84" i="11"/>
  <c r="BG48" i="11" l="1"/>
  <c r="BA100" i="11"/>
  <c r="AY100" i="11"/>
  <c r="AX100" i="11"/>
  <c r="AZ100" i="11"/>
  <c r="AW101" i="11"/>
  <c r="BH78" i="11"/>
  <c r="BK49" i="11"/>
  <c r="BL49" i="11"/>
  <c r="BJ49" i="11"/>
  <c r="BI49" i="11"/>
  <c r="AV99" i="11"/>
  <c r="AO85" i="11"/>
  <c r="AP85" i="11"/>
  <c r="AQ85" i="11"/>
  <c r="AN85" i="11"/>
  <c r="AL84" i="11"/>
  <c r="AV100" i="11" l="1"/>
  <c r="BH79" i="11"/>
  <c r="BJ78" i="11"/>
  <c r="BK78" i="11"/>
  <c r="BL78" i="11"/>
  <c r="BI78" i="11"/>
  <c r="BG49" i="11"/>
  <c r="AW102" i="11"/>
  <c r="AY101" i="11"/>
  <c r="BA101" i="11"/>
  <c r="AX101" i="11"/>
  <c r="AZ101" i="11"/>
  <c r="AL85" i="11"/>
  <c r="AN86" i="11"/>
  <c r="AO86" i="11"/>
  <c r="AP86" i="11"/>
  <c r="AQ86" i="11"/>
  <c r="AW103" i="11" l="1"/>
  <c r="AZ102" i="11"/>
  <c r="AX102" i="11"/>
  <c r="BA102" i="11"/>
  <c r="AY102" i="11"/>
  <c r="AV101" i="11"/>
  <c r="BG78" i="11"/>
  <c r="BH80" i="11"/>
  <c r="BJ79" i="11"/>
  <c r="BK79" i="11"/>
  <c r="BI79" i="11"/>
  <c r="BL79" i="11"/>
  <c r="AL86" i="11"/>
  <c r="AQ87" i="11"/>
  <c r="AO87" i="11"/>
  <c r="AP87" i="11"/>
  <c r="AN87" i="11"/>
  <c r="BG79" i="11" l="1"/>
  <c r="AV102" i="11"/>
  <c r="BH81" i="11"/>
  <c r="BK80" i="11"/>
  <c r="BI80" i="11"/>
  <c r="BJ80" i="11"/>
  <c r="BL80" i="11"/>
  <c r="AX103" i="11"/>
  <c r="BA103" i="11"/>
  <c r="AY103" i="11"/>
  <c r="AZ103" i="11"/>
  <c r="AW104" i="11"/>
  <c r="AL87" i="11"/>
  <c r="AQ88" i="11"/>
  <c r="AN88" i="11"/>
  <c r="AO88" i="11"/>
  <c r="AP88" i="11"/>
  <c r="BG80" i="11" l="1"/>
  <c r="AV103" i="11"/>
  <c r="BA104" i="11"/>
  <c r="AX104" i="11"/>
  <c r="AZ104" i="11"/>
  <c r="AY104" i="11"/>
  <c r="AW105" i="11"/>
  <c r="BH82" i="11"/>
  <c r="BI81" i="11"/>
  <c r="BJ81" i="11"/>
  <c r="BK81" i="11"/>
  <c r="BL81" i="11"/>
  <c r="AL88" i="11"/>
  <c r="AP89" i="11"/>
  <c r="AQ89" i="11"/>
  <c r="AN89" i="11"/>
  <c r="AO89" i="11"/>
  <c r="AV104" i="11" l="1"/>
  <c r="BG81" i="11"/>
  <c r="BA105" i="11"/>
  <c r="AX105" i="11"/>
  <c r="AZ105" i="11"/>
  <c r="AY105" i="11"/>
  <c r="AW106" i="11"/>
  <c r="BH83" i="11"/>
  <c r="BK82" i="11"/>
  <c r="BL82" i="11"/>
  <c r="BJ82" i="11"/>
  <c r="BI82" i="11"/>
  <c r="AO90" i="11"/>
  <c r="AP90" i="11"/>
  <c r="AQ90" i="11"/>
  <c r="AN90" i="11"/>
  <c r="AL89" i="11"/>
  <c r="AV105" i="11" l="1"/>
  <c r="BG82" i="11"/>
  <c r="AX106" i="11"/>
  <c r="AY106" i="11"/>
  <c r="BA106" i="11"/>
  <c r="AW107" i="11"/>
  <c r="AZ106" i="11"/>
  <c r="BH84" i="11"/>
  <c r="BI83" i="11"/>
  <c r="BJ83" i="11"/>
  <c r="BK83" i="11"/>
  <c r="BL83" i="11"/>
  <c r="AL90" i="11"/>
  <c r="AQ91" i="11"/>
  <c r="AN91" i="11"/>
  <c r="AP91" i="11"/>
  <c r="AO91" i="11"/>
  <c r="BG83" i="11" l="1"/>
  <c r="BH85" i="11"/>
  <c r="BI84" i="11"/>
  <c r="BJ84" i="11"/>
  <c r="BK84" i="11"/>
  <c r="BL84" i="11"/>
  <c r="AV106" i="11"/>
  <c r="AW108" i="11"/>
  <c r="BA107" i="11"/>
  <c r="AY107" i="11"/>
  <c r="AX107" i="11"/>
  <c r="AZ107" i="11"/>
  <c r="AL91" i="11"/>
  <c r="AQ92" i="11"/>
  <c r="AN92" i="11"/>
  <c r="AO92" i="11"/>
  <c r="AP92" i="11"/>
  <c r="AV107" i="11" l="1"/>
  <c r="BA108" i="11"/>
  <c r="AX108" i="11"/>
  <c r="AW109" i="11"/>
  <c r="AY108" i="11"/>
  <c r="AZ108" i="11"/>
  <c r="BG84" i="11"/>
  <c r="BH86" i="11"/>
  <c r="BL85" i="11"/>
  <c r="BI85" i="11"/>
  <c r="BJ85" i="11"/>
  <c r="BK85" i="11"/>
  <c r="AL92" i="11"/>
  <c r="AO93" i="11"/>
  <c r="AP93" i="11"/>
  <c r="AQ93" i="11"/>
  <c r="AN93" i="11"/>
  <c r="BH87" i="11" l="1"/>
  <c r="BJ86" i="11"/>
  <c r="BK86" i="11"/>
  <c r="BL86" i="11"/>
  <c r="BI86" i="11"/>
  <c r="BA109" i="11"/>
  <c r="AX109" i="11"/>
  <c r="AZ109" i="11"/>
  <c r="AW110" i="11"/>
  <c r="AY109" i="11"/>
  <c r="AV108" i="11"/>
  <c r="BG85" i="11"/>
  <c r="AL93" i="11"/>
  <c r="AO94" i="11"/>
  <c r="AP94" i="11"/>
  <c r="AQ94" i="11"/>
  <c r="AN94" i="11"/>
  <c r="AV109" i="11" l="1"/>
  <c r="AY110" i="11"/>
  <c r="AW111" i="11"/>
  <c r="BA110" i="11"/>
  <c r="AX110" i="11"/>
  <c r="AZ110" i="11"/>
  <c r="BG86" i="11"/>
  <c r="BH88" i="11"/>
  <c r="BL87" i="11"/>
  <c r="BK87" i="11"/>
  <c r="BJ87" i="11"/>
  <c r="BI87" i="11"/>
  <c r="AL94" i="11"/>
  <c r="AQ95" i="11"/>
  <c r="AO95" i="11"/>
  <c r="AN95" i="11"/>
  <c r="AP95" i="11"/>
  <c r="AV110" i="11" l="1"/>
  <c r="BH89" i="11"/>
  <c r="BL88" i="11"/>
  <c r="BJ88" i="11"/>
  <c r="BK88" i="11"/>
  <c r="BI88" i="11"/>
  <c r="AW112" i="11"/>
  <c r="AX111" i="11"/>
  <c r="BA111" i="11"/>
  <c r="AY111" i="11"/>
  <c r="AZ111" i="11"/>
  <c r="BG87" i="11"/>
  <c r="AQ96" i="11"/>
  <c r="AN96" i="11"/>
  <c r="AO96" i="11"/>
  <c r="AP96" i="11"/>
  <c r="AL95" i="11"/>
  <c r="AV111" i="11" l="1"/>
  <c r="AY112" i="11"/>
  <c r="AX112" i="11"/>
  <c r="AZ112" i="11"/>
  <c r="AW113" i="11"/>
  <c r="BA112" i="11"/>
  <c r="BG88" i="11"/>
  <c r="BH90" i="11"/>
  <c r="BK89" i="11"/>
  <c r="BI89" i="11"/>
  <c r="BJ89" i="11"/>
  <c r="BL89" i="11"/>
  <c r="AL96" i="11"/>
  <c r="AP97" i="11"/>
  <c r="AQ97" i="11"/>
  <c r="AN97" i="11"/>
  <c r="AO97" i="11"/>
  <c r="AZ113" i="11" l="1"/>
  <c r="AY113" i="11"/>
  <c r="AW114" i="11"/>
  <c r="BA113" i="11"/>
  <c r="AX113" i="11"/>
  <c r="BH91" i="11"/>
  <c r="BI90" i="11"/>
  <c r="BL90" i="11"/>
  <c r="BK90" i="11"/>
  <c r="BJ90" i="11"/>
  <c r="AV112" i="11"/>
  <c r="BG89" i="11"/>
  <c r="AO98" i="11"/>
  <c r="AP98" i="11"/>
  <c r="AN98" i="11"/>
  <c r="AQ98" i="11"/>
  <c r="AL97" i="11"/>
  <c r="BG90" i="11" l="1"/>
  <c r="AX114" i="11"/>
  <c r="AY114" i="11"/>
  <c r="AZ114" i="11"/>
  <c r="BA114" i="11"/>
  <c r="BH92" i="11"/>
  <c r="BJ91" i="11"/>
  <c r="BL91" i="11"/>
  <c r="BK91" i="11"/>
  <c r="BI91" i="11"/>
  <c r="AV113" i="11"/>
  <c r="AL98" i="11"/>
  <c r="AN99" i="11"/>
  <c r="AP99" i="11"/>
  <c r="AO99" i="11"/>
  <c r="AQ99" i="11"/>
  <c r="BG91" i="11" l="1"/>
  <c r="BH93" i="11"/>
  <c r="BI92" i="11"/>
  <c r="BJ92" i="11"/>
  <c r="BL92" i="11"/>
  <c r="BK92" i="11"/>
  <c r="AV114" i="11"/>
  <c r="BC18" i="11" s="1"/>
  <c r="AL99" i="11"/>
  <c r="AQ100" i="11"/>
  <c r="AN100" i="11"/>
  <c r="AO100" i="11"/>
  <c r="AP100" i="11"/>
  <c r="E6" i="13" l="1"/>
  <c r="BC17" i="11"/>
  <c r="BG92" i="11"/>
  <c r="BH94" i="11"/>
  <c r="BL93" i="11"/>
  <c r="BJ93" i="11"/>
  <c r="BI93" i="11"/>
  <c r="BK93" i="11"/>
  <c r="AL100" i="11"/>
  <c r="AQ101" i="11"/>
  <c r="AN101" i="11"/>
  <c r="AO101" i="11"/>
  <c r="AP101" i="11"/>
  <c r="E13" i="9" l="1"/>
  <c r="F13" i="9" s="1"/>
  <c r="G13" i="9" s="1"/>
  <c r="D6" i="13"/>
  <c r="BH95" i="11"/>
  <c r="BJ94" i="11"/>
  <c r="BI94" i="11"/>
  <c r="BK94" i="11"/>
  <c r="BL94" i="11"/>
  <c r="BG93" i="11"/>
  <c r="AL101" i="11"/>
  <c r="AN102" i="11"/>
  <c r="AO102" i="11"/>
  <c r="AP102" i="11"/>
  <c r="AQ102" i="11"/>
  <c r="BG94" i="11" l="1"/>
  <c r="BH96" i="11"/>
  <c r="BL95" i="11"/>
  <c r="BK95" i="11"/>
  <c r="BI95" i="11"/>
  <c r="BJ95" i="11"/>
  <c r="AL102" i="11"/>
  <c r="AO103" i="11"/>
  <c r="AP103" i="11"/>
  <c r="AQ103" i="11"/>
  <c r="AN103" i="11"/>
  <c r="BH97" i="11" l="1"/>
  <c r="BK96" i="11"/>
  <c r="BL96" i="11"/>
  <c r="BJ96" i="11"/>
  <c r="BI96" i="11"/>
  <c r="BG95" i="11"/>
  <c r="AL103" i="11"/>
  <c r="AQ104" i="11"/>
  <c r="AO104" i="11"/>
  <c r="AN104" i="11"/>
  <c r="AP104" i="11"/>
  <c r="BG96" i="11" l="1"/>
  <c r="BH98" i="11"/>
  <c r="BL97" i="11"/>
  <c r="BJ97" i="11"/>
  <c r="BI97" i="11"/>
  <c r="BK97" i="11"/>
  <c r="AL104" i="11"/>
  <c r="AO105" i="11"/>
  <c r="AP105" i="11"/>
  <c r="AQ105" i="11"/>
  <c r="AN105" i="11"/>
  <c r="BH99" i="11" l="1"/>
  <c r="BL98" i="11"/>
  <c r="BI98" i="11"/>
  <c r="BJ98" i="11"/>
  <c r="BK98" i="11"/>
  <c r="BG97" i="11"/>
  <c r="AL105" i="11"/>
  <c r="AO106" i="11"/>
  <c r="AP106" i="11"/>
  <c r="AQ106" i="11"/>
  <c r="AN106" i="11"/>
  <c r="BG98" i="11" l="1"/>
  <c r="BH100" i="11"/>
  <c r="BJ99" i="11"/>
  <c r="BK99" i="11"/>
  <c r="BI99" i="11"/>
  <c r="BL99" i="11"/>
  <c r="AL106" i="11"/>
  <c r="AO107" i="11"/>
  <c r="AP107" i="11"/>
  <c r="AQ107" i="11"/>
  <c r="AN107" i="11"/>
  <c r="BH101" i="11" l="1"/>
  <c r="BK100" i="11"/>
  <c r="BL100" i="11"/>
  <c r="BJ100" i="11"/>
  <c r="BI100" i="11"/>
  <c r="BG99" i="11"/>
  <c r="AL107" i="11"/>
  <c r="AP108" i="11"/>
  <c r="AO108" i="11"/>
  <c r="AQ108" i="11"/>
  <c r="AN108" i="11"/>
  <c r="BG100" i="11" l="1"/>
  <c r="BH102" i="11"/>
  <c r="BI101" i="11"/>
  <c r="BJ101" i="11"/>
  <c r="BK101" i="11"/>
  <c r="BL101" i="11"/>
  <c r="AL108" i="11"/>
  <c r="AP109" i="11"/>
  <c r="AQ109" i="11"/>
  <c r="AN109" i="11"/>
  <c r="AO109" i="11"/>
  <c r="BG101" i="11" l="1"/>
  <c r="BH103" i="11"/>
  <c r="BI102" i="11"/>
  <c r="BL102" i="11"/>
  <c r="BK102" i="11"/>
  <c r="BJ102" i="11"/>
  <c r="AN110" i="11"/>
  <c r="AO110" i="11"/>
  <c r="AP110" i="11"/>
  <c r="AQ110" i="11"/>
  <c r="AL109" i="11"/>
  <c r="BG102" i="11" l="1"/>
  <c r="BH104" i="11"/>
  <c r="BK103" i="11"/>
  <c r="BI103" i="11"/>
  <c r="BL103" i="11"/>
  <c r="BJ103" i="11"/>
  <c r="AL110" i="11"/>
  <c r="AQ111" i="11"/>
  <c r="AO111" i="11"/>
  <c r="AP111" i="11"/>
  <c r="AN111" i="11"/>
  <c r="BG103" i="11" l="1"/>
  <c r="BH105" i="11"/>
  <c r="BL104" i="11"/>
  <c r="BJ104" i="11"/>
  <c r="BI104" i="11"/>
  <c r="BK104" i="11"/>
  <c r="AQ112" i="11"/>
  <c r="AN112" i="11"/>
  <c r="AP112" i="11"/>
  <c r="AO112" i="11"/>
  <c r="AL111" i="11"/>
  <c r="BG104" i="11" l="1"/>
  <c r="BH106" i="11"/>
  <c r="BI105" i="11"/>
  <c r="BJ105" i="11"/>
  <c r="BL105" i="11"/>
  <c r="BK105" i="11"/>
  <c r="AL112" i="11"/>
  <c r="AO113" i="11"/>
  <c r="AQ113" i="11"/>
  <c r="AP113" i="11"/>
  <c r="AN113" i="11"/>
  <c r="BG105" i="11" l="1"/>
  <c r="BH107" i="11"/>
  <c r="BL106" i="11"/>
  <c r="BJ106" i="11"/>
  <c r="BK106" i="11"/>
  <c r="BI106" i="11"/>
  <c r="AL113" i="11"/>
  <c r="AO114" i="11"/>
  <c r="AQ114" i="11"/>
  <c r="AP114" i="11"/>
  <c r="AN114" i="11"/>
  <c r="BG106" i="11" l="1"/>
  <c r="BH108" i="11"/>
  <c r="BL107" i="11"/>
  <c r="BJ107" i="11"/>
  <c r="BI107" i="11"/>
  <c r="BK107" i="11"/>
  <c r="AL114" i="11"/>
  <c r="AS17" i="11" s="1"/>
  <c r="E6" i="12" l="1"/>
  <c r="G6" i="12" s="1"/>
  <c r="BH109" i="11"/>
  <c r="BL108" i="11"/>
  <c r="BJ108" i="11"/>
  <c r="BI108" i="11"/>
  <c r="BK108" i="11"/>
  <c r="BG107" i="11"/>
  <c r="H13" i="9" l="1"/>
  <c r="BG108" i="11"/>
  <c r="BH110" i="11"/>
  <c r="BK109" i="11"/>
  <c r="BJ109" i="11"/>
  <c r="BI109" i="11"/>
  <c r="BL109" i="11"/>
  <c r="BG109" i="11" l="1"/>
  <c r="BH111" i="11"/>
  <c r="BK110" i="11"/>
  <c r="BI110" i="11"/>
  <c r="BJ110" i="11"/>
  <c r="BL110" i="11"/>
  <c r="BG110" i="11" l="1"/>
  <c r="BH112" i="11"/>
  <c r="BJ111" i="11"/>
  <c r="BI111" i="11"/>
  <c r="BL111" i="11"/>
  <c r="BK111" i="11"/>
  <c r="BG111" i="11" l="1"/>
  <c r="BH113" i="11"/>
  <c r="BJ112" i="11"/>
  <c r="BK112" i="11"/>
  <c r="BI112" i="11"/>
  <c r="BL112" i="11"/>
  <c r="BG112" i="11" l="1"/>
  <c r="BH114" i="11"/>
  <c r="BI113" i="11"/>
  <c r="BJ113" i="11"/>
  <c r="BK113" i="11"/>
  <c r="BL113" i="11"/>
  <c r="BG113" i="11" l="1"/>
  <c r="BJ114" i="11"/>
  <c r="BK114" i="11"/>
  <c r="BL114" i="11"/>
  <c r="BI114" i="11"/>
  <c r="BG114" i="11" l="1"/>
  <c r="BN18" i="11" s="1"/>
  <c r="BN17" i="11" l="1"/>
  <c r="G6" i="13"/>
  <c r="F6" i="13" l="1"/>
  <c r="H6" i="13" s="1"/>
  <c r="I6" i="13" s="1"/>
</calcChain>
</file>

<file path=xl/sharedStrings.xml><?xml version="1.0" encoding="utf-8"?>
<sst xmlns="http://schemas.openxmlformats.org/spreadsheetml/2006/main" count="212" uniqueCount="86">
  <si>
    <t>Name</t>
  </si>
  <si>
    <t>Datum</t>
  </si>
  <si>
    <t>Vorname</t>
  </si>
  <si>
    <t>Trainer</t>
  </si>
  <si>
    <t>geb.</t>
  </si>
  <si>
    <t>Geschlecht</t>
  </si>
  <si>
    <t xml:space="preserve">Größe </t>
  </si>
  <si>
    <t>Gewicht</t>
  </si>
  <si>
    <t>Alter</t>
  </si>
  <si>
    <t>Puls Max</t>
  </si>
  <si>
    <t>Stufen</t>
  </si>
  <si>
    <t>Zeit min</t>
  </si>
  <si>
    <t>RR syst</t>
  </si>
  <si>
    <t>RR diast</t>
  </si>
  <si>
    <t>Herzfrequenz</t>
  </si>
  <si>
    <t>Laktat</t>
  </si>
  <si>
    <t>niedrigstes Laktat</t>
  </si>
  <si>
    <t>PWC 130</t>
  </si>
  <si>
    <t>Trainings-Herzfreq.</t>
  </si>
  <si>
    <t>W an LT1</t>
  </si>
  <si>
    <t>W an LT2</t>
  </si>
  <si>
    <t>HF an LT1</t>
  </si>
  <si>
    <t>HF an LT2</t>
  </si>
  <si>
    <t>Rad</t>
  </si>
  <si>
    <t>MET</t>
  </si>
  <si>
    <t>Watt an LT2</t>
  </si>
  <si>
    <t>W/kg bei 130</t>
  </si>
  <si>
    <t>x</t>
  </si>
  <si>
    <t>Watt</t>
  </si>
  <si>
    <t>Laktat-Test</t>
  </si>
  <si>
    <t>Ruhe 6:00</t>
  </si>
  <si>
    <t>Ruhe 3 :00</t>
  </si>
  <si>
    <t>HF</t>
  </si>
  <si>
    <t>Amplitude</t>
  </si>
  <si>
    <t>X²</t>
  </si>
  <si>
    <t>x³</t>
  </si>
  <si>
    <t>LT1</t>
  </si>
  <si>
    <t>LT2</t>
  </si>
  <si>
    <t>Laktat = x</t>
  </si>
  <si>
    <t>gegen Watt</t>
  </si>
  <si>
    <t xml:space="preserve"> </t>
  </si>
  <si>
    <t>PWC130</t>
  </si>
  <si>
    <t>W</t>
  </si>
  <si>
    <t>ID</t>
  </si>
  <si>
    <t xml:space="preserve">ID </t>
  </si>
  <si>
    <t>Laktat-Schwellen</t>
  </si>
  <si>
    <t>Größe</t>
  </si>
  <si>
    <t>geb</t>
  </si>
  <si>
    <t>Ruhe</t>
  </si>
  <si>
    <t>Intervalle</t>
  </si>
  <si>
    <t>Ruhe Bel</t>
  </si>
  <si>
    <t>Leistung (Watt / kg)  bei einer Herzfrequenz von 130 Schlägen / Minute</t>
  </si>
  <si>
    <t>HF 130 bei</t>
  </si>
  <si>
    <t>kcal/kg/h</t>
  </si>
  <si>
    <t>Sonst.</t>
  </si>
  <si>
    <t>© E &amp; E Heinen; www.profheinen.de</t>
  </si>
  <si>
    <t>E &amp; E Heinen; www.profheinen.de</t>
  </si>
  <si>
    <t xml:space="preserve">     Beurteilung der PWC 130 für Frauen</t>
  </si>
  <si>
    <t>Test 1</t>
  </si>
  <si>
    <t>w</t>
  </si>
  <si>
    <t>Belastung</t>
  </si>
  <si>
    <r>
      <t>ml O</t>
    </r>
    <r>
      <rPr>
        <vertAlign val="subscript"/>
        <sz val="11"/>
        <color rgb="FF000000"/>
        <rFont val="Calibri"/>
        <family val="2"/>
      </rPr>
      <t>2</t>
    </r>
  </si>
  <si>
    <t>/kg / min</t>
  </si>
  <si>
    <t>Watt Laktat</t>
  </si>
  <si>
    <t>Y</t>
  </si>
  <si>
    <t>X</t>
  </si>
  <si>
    <t>x4</t>
  </si>
  <si>
    <t>HF Laktat</t>
  </si>
  <si>
    <t>Fitness-Check 1</t>
  </si>
  <si>
    <r>
      <t>x</t>
    </r>
    <r>
      <rPr>
        <vertAlign val="superscript"/>
        <sz val="11"/>
        <color theme="0"/>
        <rFont val="Calibri"/>
        <family val="2"/>
      </rPr>
      <t>4</t>
    </r>
  </si>
  <si>
    <t>in Watt bzw Herzfrequenz bei Erreichen der Laktat-Schwellen</t>
  </si>
  <si>
    <t>Belastung 
 Stufe 1</t>
  </si>
  <si>
    <t>Belastung 
 Stufe 2</t>
  </si>
  <si>
    <t>Belastung 
 Stufe 3</t>
  </si>
  <si>
    <t>Belastung 
 Stufe 4</t>
  </si>
  <si>
    <t>Belastung 
 Stufe 5</t>
  </si>
  <si>
    <t>Belastung 
 Stufe 6</t>
  </si>
  <si>
    <t>Belastung 
 Stufe 7</t>
  </si>
  <si>
    <t xml:space="preserve"> Zeit</t>
  </si>
  <si>
    <t>RRsys</t>
  </si>
  <si>
    <t>RRdiast</t>
  </si>
  <si>
    <t>Puls</t>
  </si>
  <si>
    <t xml:space="preserve"> Laktat</t>
  </si>
  <si>
    <t>Ruhe
Phase 1</t>
  </si>
  <si>
    <t>Ruhe
Phase 2</t>
  </si>
  <si>
    <t>PWC 130 und Laktat-Schwelle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</si>
</sst>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164" formatCode="_-* #,##0.00\ _€_-;\-* #,##0.00\ _€_-;_-* &quot;-&quot;??\ _€_-;_-@_-"/>
    <numFmt numFmtId="165" formatCode="dd/mm/yy;@"/>
    <numFmt numFmtId="166" formatCode="0.0\ &quot;kg&quot;"/>
    <numFmt numFmtId="167" formatCode="0.00\ &quot;m&quot;"/>
    <numFmt numFmtId="168" formatCode="0\ &quot;Watt&quot;"/>
    <numFmt numFmtId="169" formatCode="0\ &quot;b/min&quot;"/>
    <numFmt numFmtId="170" formatCode="0.0\ &quot;mmol/l&quot;"/>
    <numFmt numFmtId="171" formatCode="0.0\ &quot;Jahre&quot;"/>
    <numFmt numFmtId="172" formatCode="0.0\ &quot;W/kg&quot;"/>
    <numFmt numFmtId="173" formatCode="0.0"/>
    <numFmt numFmtId="174" formatCode="d/m/yy;@"/>
    <numFmt numFmtId="175" formatCode="0\ &quot;ml O²/Watt&quot;"/>
    <numFmt numFmtId="176" formatCode="#,##0.0"/>
    <numFmt numFmtId="177" formatCode="0\ &quot;cm&quot;"/>
    <numFmt numFmtId="178" formatCode="h:mm;@"/>
    <numFmt numFmtId="179" formatCode="0\ &quot;W&quot;"/>
    <numFmt numFmtId="180" formatCode="0\ &quot;mm Hg&quot;"/>
    <numFmt numFmtId="181" formatCode="0.0000000000"/>
    <numFmt numFmtId="182" formatCode="0\ &quot;Jahre&quot;"/>
    <numFmt numFmtId="183" formatCode="0.0000"/>
    <numFmt numFmtId="184" formatCode="0.0000000"/>
    <numFmt numFmtId="185" formatCode="0.0\ &quot;J&quot;"/>
  </numFmts>
  <fonts count="18" x14ac:knownFonts="1"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</font>
    <font>
      <sz val="11"/>
      <color rgb="FF000000"/>
      <name val="Calibri"/>
      <family val="2"/>
    </font>
    <font>
      <sz val="11"/>
      <color theme="0"/>
      <name val="Calibri"/>
      <family val="2"/>
    </font>
    <font>
      <b/>
      <sz val="14"/>
      <color rgb="FF000000"/>
      <name val="Calibri"/>
      <family val="2"/>
    </font>
    <font>
      <sz val="10"/>
      <color theme="0"/>
      <name val="Arial"/>
      <family val="2"/>
    </font>
    <font>
      <sz val="11"/>
      <color theme="0" tint="-0.14999847407452621"/>
      <name val="Calibri"/>
      <family val="2"/>
    </font>
    <font>
      <u/>
      <sz val="18"/>
      <color rgb="FF000000"/>
      <name val="Calibri"/>
      <family val="2"/>
    </font>
    <font>
      <sz val="11"/>
      <name val="Calibri"/>
      <family val="2"/>
    </font>
    <font>
      <sz val="11"/>
      <color theme="0" tint="-0.34998626667073579"/>
      <name val="Calibri"/>
      <family val="2"/>
    </font>
    <font>
      <vertAlign val="subscript"/>
      <sz val="11"/>
      <color rgb="FF000000"/>
      <name val="Calibri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vertAlign val="superscript"/>
      <sz val="11"/>
      <color theme="0"/>
      <name val="Calibri"/>
      <family val="2"/>
    </font>
    <font>
      <sz val="11"/>
      <color theme="0"/>
      <name val="Calibri Light"/>
      <family val="2"/>
    </font>
    <font>
      <sz val="11"/>
      <color rgb="FFFF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15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65" fontId="0" fillId="0" borderId="0" xfId="0" applyNumberFormat="1"/>
    <xf numFmtId="174" fontId="0" fillId="0" borderId="0" xfId="0" applyNumberFormat="1" applyAlignment="1">
      <alignment horizontal="right"/>
    </xf>
    <xf numFmtId="167" fontId="0" fillId="0" borderId="0" xfId="0" applyNumberFormat="1" applyAlignment="1">
      <alignment horizontal="right"/>
    </xf>
    <xf numFmtId="175" fontId="0" fillId="0" borderId="0" xfId="0" applyNumberFormat="1"/>
    <xf numFmtId="176" fontId="0" fillId="0" borderId="0" xfId="0" applyNumberFormat="1" applyAlignment="1">
      <alignment horizontal="center"/>
    </xf>
    <xf numFmtId="0" fontId="2" fillId="0" borderId="0" xfId="0" applyFont="1"/>
    <xf numFmtId="1" fontId="0" fillId="0" borderId="0" xfId="0" applyNumberFormat="1" applyAlignment="1">
      <alignment horizontal="right"/>
    </xf>
    <xf numFmtId="0" fontId="0" fillId="0" borderId="0" xfId="0"/>
    <xf numFmtId="14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170" fontId="0" fillId="0" borderId="1" xfId="0" applyNumberFormat="1" applyFill="1" applyBorder="1" applyAlignment="1" applyProtection="1">
      <alignment horizontal="center"/>
    </xf>
    <xf numFmtId="165" fontId="0" fillId="0" borderId="0" xfId="0" applyNumberFormat="1" applyAlignment="1">
      <alignment horizontal="center"/>
    </xf>
    <xf numFmtId="18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73" fontId="5" fillId="0" borderId="0" xfId="0" applyNumberFormat="1" applyFont="1"/>
    <xf numFmtId="0" fontId="6" fillId="0" borderId="0" xfId="0" applyFont="1"/>
    <xf numFmtId="0" fontId="0" fillId="0" borderId="2" xfId="0" applyBorder="1"/>
    <xf numFmtId="0" fontId="0" fillId="0" borderId="1" xfId="0" applyFill="1" applyBorder="1"/>
    <xf numFmtId="0" fontId="0" fillId="0" borderId="2" xfId="0" applyFill="1" applyBorder="1"/>
    <xf numFmtId="0" fontId="0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168" fontId="0" fillId="0" borderId="1" xfId="0" applyNumberFormat="1" applyFill="1" applyBorder="1" applyAlignment="1" applyProtection="1">
      <alignment horizontal="center"/>
      <protection locked="0"/>
    </xf>
    <xf numFmtId="170" fontId="5" fillId="0" borderId="1" xfId="0" applyNumberFormat="1" applyFont="1" applyFill="1" applyBorder="1" applyAlignment="1" applyProtection="1">
      <alignment horizontal="center"/>
    </xf>
    <xf numFmtId="0" fontId="0" fillId="0" borderId="0" xfId="0" applyProtection="1"/>
    <xf numFmtId="0" fontId="2" fillId="0" borderId="0" xfId="0" applyFont="1" applyProtection="1"/>
    <xf numFmtId="1" fontId="0" fillId="0" borderId="0" xfId="0" applyNumberFormat="1" applyAlignment="1" applyProtection="1">
      <alignment horizontal="right"/>
    </xf>
    <xf numFmtId="0" fontId="0" fillId="0" borderId="0" xfId="0" applyAlignment="1" applyProtection="1">
      <alignment horizontal="left"/>
    </xf>
    <xf numFmtId="171" fontId="0" fillId="0" borderId="1" xfId="0" applyNumberFormat="1" applyFill="1" applyBorder="1" applyProtection="1"/>
    <xf numFmtId="165" fontId="0" fillId="0" borderId="0" xfId="0" applyNumberFormat="1" applyAlignment="1" applyProtection="1">
      <alignment horizontal="right"/>
    </xf>
    <xf numFmtId="0" fontId="1" fillId="0" borderId="0" xfId="0" applyFont="1" applyProtection="1"/>
    <xf numFmtId="169" fontId="1" fillId="0" borderId="1" xfId="0" applyNumberFormat="1" applyFont="1" applyFill="1" applyBorder="1" applyProtection="1"/>
    <xf numFmtId="168" fontId="0" fillId="0" borderId="1" xfId="0" applyNumberFormat="1" applyFill="1" applyBorder="1" applyProtection="1"/>
    <xf numFmtId="177" fontId="0" fillId="0" borderId="0" xfId="0" applyNumberFormat="1" applyAlignment="1" applyProtection="1">
      <alignment horizontal="right"/>
    </xf>
    <xf numFmtId="166" fontId="0" fillId="0" borderId="0" xfId="0" applyNumberFormat="1" applyAlignment="1" applyProtection="1">
      <alignment horizontal="right"/>
    </xf>
    <xf numFmtId="0" fontId="0" fillId="0" borderId="0" xfId="0" applyAlignment="1" applyProtection="1">
      <alignment horizontal="center"/>
    </xf>
    <xf numFmtId="0" fontId="3" fillId="0" borderId="0" xfId="0" applyFont="1" applyAlignment="1" applyProtection="1">
      <alignment horizontal="center"/>
    </xf>
    <xf numFmtId="178" fontId="0" fillId="0" borderId="0" xfId="0" applyNumberFormat="1" applyAlignment="1" applyProtection="1">
      <alignment horizontal="center"/>
    </xf>
    <xf numFmtId="180" fontId="0" fillId="0" borderId="1" xfId="0" applyNumberFormat="1" applyFill="1" applyBorder="1" applyAlignment="1" applyProtection="1">
      <alignment horizontal="center"/>
    </xf>
    <xf numFmtId="169" fontId="0" fillId="0" borderId="1" xfId="0" applyNumberFormat="1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169" fontId="0" fillId="0" borderId="0" xfId="0" applyNumberFormat="1" applyProtection="1"/>
    <xf numFmtId="0" fontId="1" fillId="0" borderId="0" xfId="0" applyFont="1" applyAlignment="1" applyProtection="1">
      <alignment horizontal="center"/>
    </xf>
    <xf numFmtId="0" fontId="5" fillId="0" borderId="0" xfId="0" applyFont="1" applyProtection="1"/>
    <xf numFmtId="0" fontId="7" fillId="0" borderId="0" xfId="0" applyFont="1" applyProtection="1"/>
    <xf numFmtId="180" fontId="5" fillId="0" borderId="0" xfId="0" applyNumberFormat="1" applyFont="1" applyProtection="1"/>
    <xf numFmtId="1" fontId="0" fillId="0" borderId="1" xfId="0" applyNumberFormat="1" applyBorder="1" applyAlignment="1">
      <alignment horizontal="center"/>
    </xf>
    <xf numFmtId="0" fontId="0" fillId="0" borderId="1" xfId="0" applyFill="1" applyBorder="1" applyAlignment="1" applyProtection="1">
      <alignment horizontal="center"/>
      <protection locked="0"/>
    </xf>
    <xf numFmtId="166" fontId="0" fillId="0" borderId="0" xfId="0" applyNumberFormat="1" applyAlignment="1">
      <alignment horizontal="center"/>
    </xf>
    <xf numFmtId="177" fontId="0" fillId="0" borderId="0" xfId="0" applyNumberFormat="1" applyAlignment="1" applyProtection="1">
      <alignment horizontal="center"/>
    </xf>
    <xf numFmtId="165" fontId="0" fillId="0" borderId="1" xfId="0" applyNumberFormat="1" applyFill="1" applyBorder="1" applyAlignment="1" applyProtection="1">
      <alignment horizontal="right"/>
    </xf>
    <xf numFmtId="178" fontId="5" fillId="0" borderId="0" xfId="0" applyNumberFormat="1" applyFont="1" applyProtection="1"/>
    <xf numFmtId="0" fontId="0" fillId="0" borderId="0" xfId="0" applyFill="1"/>
    <xf numFmtId="0" fontId="0" fillId="0" borderId="1" xfId="0" applyBorder="1"/>
    <xf numFmtId="0" fontId="9" fillId="0" borderId="0" xfId="0" applyFont="1"/>
    <xf numFmtId="0" fontId="10" fillId="0" borderId="0" xfId="0" applyFont="1" applyProtection="1"/>
    <xf numFmtId="179" fontId="0" fillId="0" borderId="0" xfId="0" applyNumberFormat="1" applyProtection="1"/>
    <xf numFmtId="164" fontId="0" fillId="0" borderId="0" xfId="1" applyFont="1" applyAlignment="1"/>
    <xf numFmtId="0" fontId="0" fillId="0" borderId="0" xfId="0" applyAlignment="1"/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173" fontId="0" fillId="0" borderId="0" xfId="0" applyNumberFormat="1" applyAlignment="1">
      <alignment horizontal="center"/>
    </xf>
    <xf numFmtId="49" fontId="0" fillId="0" borderId="1" xfId="0" applyNumberFormat="1" applyFill="1" applyBorder="1" applyAlignment="1" applyProtection="1">
      <alignment horizontal="right"/>
    </xf>
    <xf numFmtId="173" fontId="5" fillId="0" borderId="0" xfId="0" applyNumberFormat="1" applyFont="1" applyAlignment="1">
      <alignment horizontal="right"/>
    </xf>
    <xf numFmtId="1" fontId="0" fillId="0" borderId="0" xfId="0" applyNumberFormat="1" applyAlignment="1" applyProtection="1"/>
    <xf numFmtId="164" fontId="0" fillId="0" borderId="0" xfId="1" applyFont="1" applyAlignment="1">
      <alignment horizontal="left"/>
    </xf>
    <xf numFmtId="179" fontId="5" fillId="0" borderId="0" xfId="0" applyNumberFormat="1" applyFont="1" applyProtection="1"/>
    <xf numFmtId="170" fontId="5" fillId="0" borderId="0" xfId="0" applyNumberFormat="1" applyFont="1" applyProtection="1"/>
    <xf numFmtId="0" fontId="13" fillId="0" borderId="0" xfId="0" applyFont="1" applyProtection="1"/>
    <xf numFmtId="165" fontId="10" fillId="0" borderId="1" xfId="0" applyNumberFormat="1" applyFont="1" applyFill="1" applyBorder="1" applyAlignment="1" applyProtection="1">
      <alignment horizontal="right"/>
    </xf>
    <xf numFmtId="165" fontId="10" fillId="0" borderId="1" xfId="0" applyNumberFormat="1" applyFont="1" applyFill="1" applyBorder="1" applyAlignment="1" applyProtection="1">
      <alignment horizontal="center"/>
    </xf>
    <xf numFmtId="171" fontId="10" fillId="0" borderId="1" xfId="0" applyNumberFormat="1" applyFont="1" applyFill="1" applyBorder="1" applyProtection="1"/>
    <xf numFmtId="169" fontId="14" fillId="0" borderId="1" xfId="0" applyNumberFormat="1" applyFont="1" applyFill="1" applyBorder="1" applyProtection="1"/>
    <xf numFmtId="168" fontId="10" fillId="0" borderId="1" xfId="0" applyNumberFormat="1" applyFont="1" applyFill="1" applyBorder="1" applyProtection="1"/>
    <xf numFmtId="183" fontId="0" fillId="0" borderId="0" xfId="0" applyNumberFormat="1"/>
    <xf numFmtId="0" fontId="7" fillId="0" borderId="0" xfId="0" applyFont="1" applyAlignment="1" applyProtection="1">
      <alignment horizontal="center"/>
    </xf>
    <xf numFmtId="165" fontId="5" fillId="0" borderId="1" xfId="0" applyNumberFormat="1" applyFont="1" applyFill="1" applyBorder="1" applyAlignment="1" applyProtection="1">
      <alignment horizontal="right"/>
    </xf>
    <xf numFmtId="169" fontId="5" fillId="0" borderId="0" xfId="0" applyNumberFormat="1" applyFont="1" applyProtection="1"/>
    <xf numFmtId="165" fontId="5" fillId="0" borderId="1" xfId="0" applyNumberFormat="1" applyFont="1" applyFill="1" applyBorder="1" applyAlignment="1" applyProtection="1">
      <alignment horizontal="center"/>
    </xf>
    <xf numFmtId="171" fontId="5" fillId="0" borderId="1" xfId="0" applyNumberFormat="1" applyFont="1" applyFill="1" applyBorder="1" applyProtection="1"/>
    <xf numFmtId="1" fontId="5" fillId="0" borderId="0" xfId="0" applyNumberFormat="1" applyFont="1" applyProtection="1"/>
    <xf numFmtId="169" fontId="7" fillId="0" borderId="1" xfId="0" applyNumberFormat="1" applyFont="1" applyFill="1" applyBorder="1" applyProtection="1"/>
    <xf numFmtId="168" fontId="5" fillId="0" borderId="1" xfId="0" applyNumberFormat="1" applyFont="1" applyFill="1" applyBorder="1" applyProtection="1"/>
    <xf numFmtId="168" fontId="5" fillId="0" borderId="0" xfId="0" applyNumberFormat="1" applyFont="1" applyProtection="1"/>
    <xf numFmtId="0" fontId="0" fillId="0" borderId="3" xfId="0" applyBorder="1" applyAlignment="1">
      <alignment horizontal="right"/>
    </xf>
    <xf numFmtId="182" fontId="0" fillId="0" borderId="3" xfId="0" applyNumberFormat="1" applyBorder="1" applyAlignment="1">
      <alignment horizontal="right"/>
    </xf>
    <xf numFmtId="0" fontId="0" fillId="0" borderId="3" xfId="0" applyBorder="1"/>
    <xf numFmtId="0" fontId="0" fillId="0" borderId="3" xfId="0" applyBorder="1" applyAlignment="1">
      <alignment horizontal="center"/>
    </xf>
    <xf numFmtId="165" fontId="0" fillId="0" borderId="3" xfId="0" applyNumberFormat="1" applyBorder="1"/>
    <xf numFmtId="185" fontId="0" fillId="0" borderId="3" xfId="0" applyNumberFormat="1" applyBorder="1" applyAlignment="1">
      <alignment horizontal="right"/>
    </xf>
    <xf numFmtId="166" fontId="0" fillId="0" borderId="3" xfId="0" applyNumberFormat="1" applyBorder="1"/>
    <xf numFmtId="168" fontId="0" fillId="0" borderId="3" xfId="0" applyNumberFormat="1" applyFill="1" applyBorder="1" applyAlignment="1" applyProtection="1">
      <alignment horizontal="center"/>
      <protection locked="0"/>
    </xf>
    <xf numFmtId="0" fontId="2" fillId="0" borderId="3" xfId="0" applyFont="1" applyBorder="1" applyAlignment="1">
      <alignment horizontal="center"/>
    </xf>
    <xf numFmtId="172" fontId="2" fillId="0" borderId="3" xfId="0" applyNumberFormat="1" applyFont="1" applyBorder="1" applyAlignment="1">
      <alignment horizontal="center"/>
    </xf>
    <xf numFmtId="0" fontId="10" fillId="0" borderId="0" xfId="0" applyFont="1"/>
    <xf numFmtId="182" fontId="0" fillId="0" borderId="3" xfId="0" applyNumberFormat="1" applyBorder="1" applyAlignment="1">
      <alignment horizontal="center"/>
    </xf>
    <xf numFmtId="165" fontId="0" fillId="0" borderId="3" xfId="0" applyNumberFormat="1" applyBorder="1" applyAlignment="1">
      <alignment horizontal="center"/>
    </xf>
    <xf numFmtId="185" fontId="0" fillId="0" borderId="3" xfId="0" applyNumberFormat="1" applyBorder="1" applyAlignment="1">
      <alignment horizontal="center"/>
    </xf>
    <xf numFmtId="166" fontId="0" fillId="0" borderId="3" xfId="0" applyNumberFormat="1" applyBorder="1" applyAlignment="1">
      <alignment horizontal="center"/>
    </xf>
    <xf numFmtId="173" fontId="5" fillId="0" borderId="0" xfId="0" applyNumberFormat="1" applyFont="1" applyProtection="1"/>
    <xf numFmtId="0" fontId="5" fillId="0" borderId="0" xfId="0" applyFont="1" applyAlignment="1" applyProtection="1"/>
    <xf numFmtId="0" fontId="16" fillId="0" borderId="0" xfId="0" applyFont="1" applyAlignment="1">
      <alignment vertical="center"/>
    </xf>
    <xf numFmtId="184" fontId="5" fillId="0" borderId="0" xfId="0" applyNumberFormat="1" applyFont="1" applyProtection="1"/>
    <xf numFmtId="2" fontId="5" fillId="0" borderId="0" xfId="0" applyNumberFormat="1" applyFont="1" applyProtection="1"/>
    <xf numFmtId="0" fontId="9" fillId="0" borderId="1" xfId="0" applyFont="1" applyBorder="1"/>
    <xf numFmtId="0" fontId="0" fillId="0" borderId="1" xfId="0" applyBorder="1" applyAlignment="1">
      <alignment vertical="center"/>
    </xf>
    <xf numFmtId="0" fontId="0" fillId="0" borderId="10" xfId="0" applyFill="1" applyBorder="1"/>
    <xf numFmtId="0" fontId="0" fillId="0" borderId="10" xfId="0" applyBorder="1"/>
    <xf numFmtId="20" fontId="0" fillId="0" borderId="11" xfId="0" applyNumberFormat="1" applyBorder="1" applyAlignment="1">
      <alignment horizontal="right"/>
    </xf>
    <xf numFmtId="179" fontId="0" fillId="0" borderId="12" xfId="0" applyNumberFormat="1" applyBorder="1" applyAlignment="1">
      <alignment horizontal="right"/>
    </xf>
    <xf numFmtId="180" fontId="0" fillId="2" borderId="13" xfId="0" applyNumberFormat="1" applyFill="1" applyBorder="1" applyAlignment="1" applyProtection="1">
      <alignment horizontal="right"/>
      <protection locked="0"/>
    </xf>
    <xf numFmtId="169" fontId="0" fillId="2" borderId="13" xfId="0" applyNumberFormat="1" applyFill="1" applyBorder="1" applyAlignment="1" applyProtection="1">
      <alignment horizontal="right"/>
      <protection locked="0"/>
    </xf>
    <xf numFmtId="170" fontId="0" fillId="2" borderId="14" xfId="0" applyNumberFormat="1" applyFill="1" applyBorder="1" applyAlignment="1" applyProtection="1">
      <alignment horizontal="right"/>
      <protection locked="0"/>
    </xf>
    <xf numFmtId="180" fontId="0" fillId="3" borderId="13" xfId="0" applyNumberFormat="1" applyFill="1" applyBorder="1" applyAlignment="1" applyProtection="1">
      <alignment horizontal="right"/>
      <protection locked="0"/>
    </xf>
    <xf numFmtId="169" fontId="0" fillId="3" borderId="13" xfId="0" applyNumberFormat="1" applyFill="1" applyBorder="1" applyAlignment="1" applyProtection="1">
      <alignment horizontal="right"/>
      <protection locked="0"/>
    </xf>
    <xf numFmtId="170" fontId="0" fillId="3" borderId="14" xfId="0" applyNumberFormat="1" applyFill="1" applyBorder="1" applyAlignment="1" applyProtection="1">
      <alignment horizontal="right"/>
      <protection locked="0"/>
    </xf>
    <xf numFmtId="20" fontId="0" fillId="0" borderId="12" xfId="0" applyNumberFormat="1" applyBorder="1" applyAlignment="1">
      <alignment horizontal="right"/>
    </xf>
    <xf numFmtId="0" fontId="0" fillId="0" borderId="4" xfId="0" applyBorder="1"/>
    <xf numFmtId="0" fontId="2" fillId="0" borderId="11" xfId="0" applyFont="1" applyBorder="1" applyAlignment="1">
      <alignment horizontal="right"/>
    </xf>
    <xf numFmtId="0" fontId="0" fillId="0" borderId="5" xfId="0" applyBorder="1"/>
    <xf numFmtId="0" fontId="0" fillId="0" borderId="12" xfId="0" applyBorder="1" applyAlignment="1" applyProtection="1">
      <alignment horizontal="right"/>
    </xf>
    <xf numFmtId="0" fontId="0" fillId="0" borderId="6" xfId="0" applyBorder="1"/>
    <xf numFmtId="0" fontId="8" fillId="0" borderId="0" xfId="0" applyFont="1" applyAlignment="1"/>
    <xf numFmtId="169" fontId="0" fillId="0" borderId="3" xfId="0" applyNumberFormat="1" applyFont="1" applyFill="1" applyBorder="1" applyAlignment="1" applyProtection="1">
      <alignment horizontal="center"/>
      <protection locked="0"/>
    </xf>
    <xf numFmtId="0" fontId="17" fillId="0" borderId="0" xfId="0" applyFont="1" applyProtection="1"/>
    <xf numFmtId="0" fontId="17" fillId="0" borderId="0" xfId="0" applyFont="1"/>
    <xf numFmtId="181" fontId="5" fillId="0" borderId="0" xfId="0" applyNumberFormat="1" applyFont="1" applyProtection="1"/>
    <xf numFmtId="0" fontId="5" fillId="0" borderId="0" xfId="0" applyNumberFormat="1" applyFont="1" applyAlignment="1" applyProtection="1"/>
    <xf numFmtId="0" fontId="0" fillId="0" borderId="7" xfId="0" applyBorder="1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 wrapText="1"/>
    </xf>
    <xf numFmtId="0" fontId="0" fillId="0" borderId="9" xfId="0" applyBorder="1" applyAlignment="1">
      <alignment horizontal="center" vertical="center" textRotation="90" wrapText="1"/>
    </xf>
    <xf numFmtId="0" fontId="9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/>
    </xf>
    <xf numFmtId="0" fontId="11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8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0" fillId="0" borderId="0" xfId="0" applyAlignment="1">
      <alignment horizontal="left"/>
    </xf>
    <xf numFmtId="14" fontId="0" fillId="0" borderId="12" xfId="0" applyNumberFormat="1" applyBorder="1" applyAlignment="1" applyProtection="1">
      <alignment horizontal="right"/>
      <protection locked="0"/>
    </xf>
    <xf numFmtId="0" fontId="0" fillId="0" borderId="12" xfId="0" applyBorder="1" applyAlignment="1" applyProtection="1">
      <alignment horizontal="right"/>
      <protection locked="0"/>
    </xf>
    <xf numFmtId="177" fontId="0" fillId="0" borderId="12" xfId="0" applyNumberFormat="1" applyBorder="1" applyAlignment="1" applyProtection="1">
      <alignment horizontal="right"/>
      <protection locked="0"/>
    </xf>
    <xf numFmtId="166" fontId="0" fillId="0" borderId="12" xfId="0" applyNumberFormat="1" applyBorder="1" applyAlignment="1" applyProtection="1">
      <alignment horizontal="right"/>
      <protection locked="0"/>
    </xf>
    <xf numFmtId="179" fontId="0" fillId="0" borderId="12" xfId="0" applyNumberFormat="1" applyBorder="1" applyAlignment="1" applyProtection="1">
      <alignment horizontal="right"/>
      <protection locked="0"/>
    </xf>
    <xf numFmtId="20" fontId="0" fillId="0" borderId="15" xfId="0" applyNumberFormat="1" applyBorder="1" applyAlignment="1" applyProtection="1">
      <alignment horizontal="right"/>
      <protection locked="0"/>
    </xf>
  </cellXfs>
  <cellStyles count="2">
    <cellStyle name="Komma" xfId="1" builtinId="3"/>
    <cellStyle name="Standard" xfId="0" builtinId="0" customBuiltin="1"/>
  </cellStyles>
  <dxfs count="9">
    <dxf>
      <font>
        <color rgb="FFFFFFFF"/>
      </font>
    </dxf>
    <dxf>
      <font>
        <color rgb="FFFFFFFF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/>
  <colors>
    <mruColors>
      <color rgb="FF00D7D2"/>
      <color rgb="FF00FFFF"/>
      <color rgb="FF5D74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824563985576568"/>
          <c:y val="7.8477732436331216E-2"/>
          <c:w val="0.63013704639573243"/>
          <c:h val="0.70889198242484885"/>
        </c:manualLayout>
      </c:layout>
      <c:barChart>
        <c:barDir val="col"/>
        <c:grouping val="clustered"/>
        <c:varyColors val="0"/>
        <c:ser>
          <c:idx val="2"/>
          <c:order val="0"/>
          <c:tx>
            <c:v>Belastung in Watt</c:v>
          </c:tx>
          <c:spPr>
            <a:solidFill>
              <a:srgbClr val="00FFFF">
                <a:alpha val="50000"/>
              </a:srgbClr>
            </a:solidFill>
            <a:ln w="9525">
              <a:solidFill>
                <a:srgbClr val="305496"/>
              </a:solidFill>
            </a:ln>
          </c:spPr>
          <c:invertIfNegative val="0"/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1'!$A$13:$A$21</c:f>
              <c:numCache>
                <c:formatCode>0\ "W"</c:formatCode>
                <c:ptCount val="9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2-3B8F-4ED4-B51D-AE57A26EAD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9"/>
        <c:axId val="649596832"/>
        <c:axId val="649596176"/>
      </c:barChart>
      <c:lineChart>
        <c:grouping val="standard"/>
        <c:varyColors val="0"/>
        <c:ser>
          <c:idx val="3"/>
          <c:order val="1"/>
          <c:tx>
            <c:v>Herzfrequenz</c:v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8"/>
            <c:spPr>
              <a:noFill/>
              <a:ln w="15875">
                <a:solidFill>
                  <a:srgbClr val="FF0000"/>
                </a:solidFill>
              </a:ln>
            </c:spPr>
          </c:marker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1'!$E$13:$E$21</c:f>
              <c:numCache>
                <c:formatCode>0\ "b/min"</c:formatCode>
                <c:ptCount val="9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124</c:v>
                </c:pt>
                <c:pt idx="5">
                  <c:v>100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3-3B8F-4ED4-B51D-AE57A26EADAB}"/>
            </c:ext>
          </c:extLst>
        </c:ser>
        <c:ser>
          <c:idx val="0"/>
          <c:order val="2"/>
          <c:tx>
            <c:v>RR</c:v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'Test 1'!$F$13:$F$21</c:f>
                <c:numCache>
                  <c:formatCode>General</c:formatCode>
                  <c:ptCount val="9"/>
                  <c:pt idx="0">
                    <c:v>50</c:v>
                  </c:pt>
                  <c:pt idx="1">
                    <c:v>55</c:v>
                  </c:pt>
                  <c:pt idx="2">
                    <c:v>75</c:v>
                  </c:pt>
                  <c:pt idx="3">
                    <c:v>85</c:v>
                  </c:pt>
                  <c:pt idx="4">
                    <c:v>55</c:v>
                  </c:pt>
                  <c:pt idx="5">
                    <c:v>50</c:v>
                  </c:pt>
                  <c:pt idx="6">
                    <c:v>#N/A</c:v>
                  </c:pt>
                  <c:pt idx="7">
                    <c:v>#N/A</c:v>
                  </c:pt>
                  <c:pt idx="8">
                    <c:v>#N/A</c:v>
                  </c:pt>
                </c:numCache>
              </c:numRef>
            </c:minus>
            <c:spPr>
              <a:ln w="15875"/>
            </c:spPr>
          </c:errBars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1'!$C$13:$C$21</c:f>
              <c:numCache>
                <c:formatCode>0\ "mm Hg"</c:formatCode>
                <c:ptCount val="9"/>
                <c:pt idx="0">
                  <c:v>120</c:v>
                </c:pt>
                <c:pt idx="1">
                  <c:v>130</c:v>
                </c:pt>
                <c:pt idx="2">
                  <c:v>145</c:v>
                </c:pt>
                <c:pt idx="3">
                  <c:v>160</c:v>
                </c:pt>
                <c:pt idx="4">
                  <c:v>130</c:v>
                </c:pt>
                <c:pt idx="5">
                  <c:v>120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46-4F0B-93BD-87C31593A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"/>
        <c:axId val="11"/>
      </c:lineChart>
      <c:lineChart>
        <c:grouping val="standard"/>
        <c:varyColors val="0"/>
        <c:ser>
          <c:idx val="1"/>
          <c:order val="3"/>
          <c:tx>
            <c:v>200 W</c:v>
          </c:tx>
          <c:spPr>
            <a:ln>
              <a:noFill/>
            </a:ln>
          </c:spPr>
          <c:marker>
            <c:symbol val="none"/>
          </c:marker>
          <c:val>
            <c:numRef>
              <c:f>'Test 1'!$AC$13:$AC$21</c:f>
              <c:numCache>
                <c:formatCode>0\ "W"</c:formatCode>
                <c:ptCount val="9"/>
                <c:pt idx="0">
                  <c:v>80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46-4F0B-93BD-87C31593A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9596832"/>
        <c:axId val="649596176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000000"/>
                    </a:solidFill>
                    <a:latin typeface="Calibri" charset="0"/>
                  </a:defRPr>
                </a:pPr>
                <a:r>
                  <a:rPr lang="de-DE" sz="1400"/>
                  <a:t>Zeitverlauf  [min ]</a:t>
                </a:r>
              </a:p>
            </c:rich>
          </c:tx>
          <c:layout>
            <c:manualLayout>
              <c:xMode val="edge"/>
              <c:yMode val="edge"/>
              <c:x val="0.29846153846153844"/>
              <c:y val="0.92722280905189935"/>
              <c:w val="0.17374999999999999"/>
              <c:h val="4.9500000000000002E-2"/>
            </c:manualLayout>
          </c:layout>
          <c:overlay val="0"/>
          <c:spPr>
            <a:noFill/>
            <a:ln w="19050">
              <a:noFill/>
            </a:ln>
          </c:spPr>
        </c:title>
        <c:numFmt formatCode="[$-F400]h:mm:ss\ AM/PM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200"/>
            </a:pPr>
            <a:endParaRPr lang="de-DE"/>
          </a:p>
        </c:txPr>
        <c:crossAx val="11"/>
        <c:crosses val="autoZero"/>
        <c:auto val="0"/>
        <c:lblAlgn val="l"/>
        <c:lblOffset val="100"/>
        <c:noMultiLvlLbl val="0"/>
      </c:catAx>
      <c:valAx>
        <c:axId val="11"/>
        <c:scaling>
          <c:orientation val="minMax"/>
        </c:scaling>
        <c:delete val="0"/>
        <c:axPos val="l"/>
        <c:majorGridlines>
          <c:spPr>
            <a:ln>
              <a:solidFill>
                <a:srgbClr val="000000"/>
              </a:solidFill>
            </a:ln>
          </c:spPr>
        </c:majorGridlines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>
                    <a:solidFill>
                      <a:srgbClr val="5D7430"/>
                    </a:solidFill>
                  </a:rPr>
                  <a:t>RR   syst / diast.  [ mm Hg ]</a:t>
                </a:r>
                <a:r>
                  <a:rPr lang="de-DE" sz="1400"/>
                  <a:t> </a:t>
                </a:r>
              </a:p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/>
                  <a:t>Pulsfrequenz  [ b / min ]</a:t>
                </a:r>
              </a:p>
            </c:rich>
          </c:tx>
          <c:layout>
            <c:manualLayout>
              <c:xMode val="edge"/>
              <c:yMode val="edge"/>
              <c:x val="5.9191464703275726E-4"/>
              <c:y val="0.23701294934818229"/>
              <c:w val="0.247"/>
              <c:h val="0.1245"/>
            </c:manualLayout>
          </c:layout>
          <c:overlay val="0"/>
          <c:spPr>
            <a:solidFill>
              <a:srgbClr val="FFFFFF"/>
            </a:solidFill>
            <a:ln w="19050">
              <a:noFill/>
            </a:ln>
          </c:spPr>
        </c:title>
        <c:numFmt formatCode="0\ 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crossAx val="10"/>
        <c:crosses val="autoZero"/>
        <c:crossBetween val="between"/>
      </c:valAx>
      <c:valAx>
        <c:axId val="649596176"/>
        <c:scaling>
          <c:orientation val="minMax"/>
        </c:scaling>
        <c:delete val="0"/>
        <c:axPos val="r"/>
        <c:majorGridlines>
          <c:spPr>
            <a:ln w="3175">
              <a:solidFill>
                <a:srgbClr val="00FFFF"/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>
                    <a:solidFill>
                      <a:srgbClr val="00D7D2"/>
                    </a:solidFill>
                  </a:defRPr>
                </a:pPr>
                <a:r>
                  <a:rPr lang="en-US">
                    <a:solidFill>
                      <a:srgbClr val="00D7D2"/>
                    </a:solidFill>
                  </a:rPr>
                  <a:t>Belastung [ Watt ]</a:t>
                </a:r>
              </a:p>
            </c:rich>
          </c:tx>
          <c:overlay val="0"/>
        </c:title>
        <c:numFmt formatCode="0\ &quot;W&quot;" sourceLinked="1"/>
        <c:majorTickMark val="out"/>
        <c:minorTickMark val="none"/>
        <c:tickLblPos val="nextTo"/>
        <c:crossAx val="649596832"/>
        <c:crosses val="max"/>
        <c:crossBetween val="between"/>
        <c:majorUnit val="50"/>
      </c:valAx>
      <c:catAx>
        <c:axId val="649596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49596176"/>
        <c:crosses val="autoZero"/>
        <c:auto val="0"/>
        <c:lblAlgn val="ctr"/>
        <c:lblOffset val="100"/>
        <c:noMultiLvlLbl val="0"/>
      </c:catAx>
      <c:spPr>
        <a:gradFill>
          <a:gsLst>
            <a:gs pos="0">
              <a:srgbClr val="FFFFCC"/>
            </a:gs>
            <a:gs pos="100000">
              <a:srgbClr val="FFFFFF"/>
            </a:gs>
          </a:gsLst>
          <a:lin ang="5400000"/>
          <a:tileRect/>
        </a:gradFill>
        <a:ln w="9525">
          <a:solidFill>
            <a:srgbClr val="808080"/>
          </a:solidFill>
        </a:ln>
      </c:spPr>
    </c:plotArea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extLst>
    <c:ext xmlns:sm="smo" uri="smo">
      <sm:colorScheme xmlns:sm="smo" id="1582837308" val="15"/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48697916666666"/>
          <c:y val="5.0447600496326336E-2"/>
          <c:w val="0.69972274305555549"/>
          <c:h val="0.73611256185426788"/>
        </c:manualLayout>
      </c:layout>
      <c:scatterChart>
        <c:scatterStyle val="lineMarker"/>
        <c:varyColors val="0"/>
        <c:ser>
          <c:idx val="0"/>
          <c:order val="0"/>
          <c:tx>
            <c:strRef>
              <c:f>'PWC 130'!$A$6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7"/>
            <c:spPr>
              <a:solidFill>
                <a:schemeClr val="bg2">
                  <a:lumMod val="60000"/>
                  <a:lumOff val="40000"/>
                </a:schemeClr>
              </a:solidFill>
              <a:ln>
                <a:solidFill>
                  <a:srgbClr val="4472C4"/>
                </a:solidFill>
              </a:ln>
            </c:spPr>
          </c:marker>
          <c:xVal>
            <c:numRef>
              <c:f>'PWC 130'!$G$8</c:f>
              <c:numCache>
                <c:formatCode>0.0</c:formatCode>
                <c:ptCount val="1"/>
                <c:pt idx="0">
                  <c:v>55.906849315068492</c:v>
                </c:pt>
              </c:numCache>
            </c:numRef>
          </c:xVal>
          <c:yVal>
            <c:numRef>
              <c:f>'PWC 130'!$G$6</c:f>
              <c:numCache>
                <c:formatCode>0.0\ "W/kg"</c:formatCode>
                <c:ptCount val="1"/>
                <c:pt idx="0">
                  <c:v>1.3734939759036144</c:v>
                </c:pt>
              </c:numCache>
            </c:numRef>
          </c:y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2A9F-45AA-83E3-B0BEF4488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11"/>
      </c:scatterChart>
      <c:valAx>
        <c:axId val="10"/>
        <c:scaling>
          <c:orientation val="minMax"/>
          <c:max val="70"/>
          <c:min val="30"/>
        </c:scaling>
        <c:delete val="0"/>
        <c:axPos val="b"/>
        <c:majorGridlines>
          <c:spPr>
            <a:ln w="9525">
              <a:solidFill>
                <a:srgbClr val="7F7F7F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Jahre</a:t>
                </a:r>
              </a:p>
            </c:rich>
          </c:tx>
          <c:layout>
            <c:manualLayout>
              <c:xMode val="edge"/>
              <c:yMode val="edge"/>
              <c:x val="0.50875000000000004"/>
              <c:y val="0.90825"/>
              <c:w val="0.10575"/>
              <c:h val="7.9750000000000001E-2"/>
            </c:manualLayout>
          </c:layout>
          <c:overlay val="0"/>
          <c:spPr>
            <a:noFill/>
            <a:ln w="9525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9525">
            <a:solidFill>
              <a:srgbClr val="BFBFBF"/>
            </a:solidFill>
          </a:ln>
        </c:spPr>
        <c:txPr>
          <a:bodyPr rot="0" vert="horz" anchor="ctr" anchorCtr="1"/>
          <a:lstStyle/>
          <a:p>
            <a:pPr>
              <a:defRPr lang="de-de" sz="1400" b="0" i="0" u="none" strike="noStrike" kern="100">
                <a:solidFill>
                  <a:srgbClr val="595959"/>
                </a:solidFill>
                <a:latin typeface="Calibri" charset="0"/>
              </a:defRPr>
            </a:pPr>
            <a:endParaRPr lang="de-DE"/>
          </a:p>
        </c:txPr>
        <c:crossAx val="11"/>
        <c:crosses val="autoZero"/>
        <c:crossBetween val="midCat"/>
        <c:majorUnit val="10"/>
      </c:valAx>
      <c:valAx>
        <c:axId val="11"/>
        <c:scaling>
          <c:orientation val="minMax"/>
          <c:max val="3"/>
        </c:scaling>
        <c:delete val="0"/>
        <c:axPos val="l"/>
        <c:majorGridlines>
          <c:spPr>
            <a:ln w="9525">
              <a:solidFill>
                <a:srgbClr val="7F7F7F"/>
              </a:solidFill>
            </a:ln>
          </c:spPr>
        </c:majorGridlines>
        <c:title>
          <c:tx>
            <c:rich>
              <a:bodyPr rot="16200000"/>
              <a:lstStyle/>
              <a:p>
                <a:pPr>
                  <a:defRPr/>
                </a:pPr>
                <a:r>
                  <a:rPr lang="de-DE"/>
                  <a:t>PWC 130  (Watt / kg )</a:t>
                </a:r>
              </a:p>
            </c:rich>
          </c:tx>
          <c:overlay val="0"/>
          <c:spPr>
            <a:noFill/>
            <a:ln w="9525">
              <a:noFill/>
            </a:ln>
          </c:spPr>
        </c:title>
        <c:numFmt formatCode="0.0" sourceLinked="0"/>
        <c:majorTickMark val="none"/>
        <c:minorTickMark val="none"/>
        <c:tickLblPos val="nextTo"/>
        <c:spPr>
          <a:ln w="9525">
            <a:solidFill>
              <a:srgbClr val="BFBFBF"/>
            </a:solidFill>
          </a:ln>
        </c:spPr>
        <c:txPr>
          <a:bodyPr rot="-5400000" vert="horz" anchor="ctr" anchorCtr="1"/>
          <a:lstStyle/>
          <a:p>
            <a:pPr>
              <a:defRPr lang="de-de" sz="1400" b="0" i="0" u="none" strike="noStrike" kern="100" baseline="0">
                <a:solidFill>
                  <a:srgbClr val="595959"/>
                </a:solidFill>
                <a:latin typeface="Calibri" charset="0"/>
              </a:defRPr>
            </a:pPr>
            <a:endParaRPr lang="de-DE"/>
          </a:p>
        </c:txPr>
        <c:crossAx val="10"/>
        <c:crosses val="autoZero"/>
        <c:crossBetween val="midCat"/>
      </c:valAx>
      <c:spPr>
        <a:blipFill>
          <a:blip xmlns:r="http://schemas.openxmlformats.org/officeDocument/2006/relationships" r:embed="rId1"/>
          <a:stretch>
            <a:fillRect/>
          </a:stretch>
        </a:blipFill>
        <a:ln w="19050">
          <a:noFill/>
        </a:ln>
      </c:spPr>
    </c:plotArea>
    <c:legend>
      <c:legendPos val="r"/>
      <c:layout>
        <c:manualLayout>
          <c:xMode val="edge"/>
          <c:yMode val="edge"/>
          <c:x val="0.83899826388888887"/>
          <c:y val="0.35451950812728633"/>
          <c:w val="0.13686701388888889"/>
          <c:h val="7.4722997333565966E-2"/>
        </c:manualLayout>
      </c:layout>
      <c:overlay val="0"/>
      <c:txPr>
        <a:bodyPr/>
        <a:lstStyle/>
        <a:p>
          <a:pPr>
            <a:defRPr sz="1000" b="1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solidFill>
        <a:schemeClr val="tx1"/>
      </a:solidFill>
    </a:ln>
  </c:spPr>
  <c:txPr>
    <a:bodyPr rot="0" anchor="t"/>
    <a:lstStyle/>
    <a:p>
      <a:pPr>
        <a:defRPr lang="de-de" sz="1400" b="0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extLst>
    <c:ext xmlns:sm="smo" uri="smo">
      <sm:colorScheme xmlns:sm="smo" id="1582837308" val="15"/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PWC 130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3428851850371495"/>
          <c:y val="0.14569322176803259"/>
          <c:w val="0.69794149305555553"/>
          <c:h val="0.65798922350680455"/>
        </c:manualLayout>
      </c:layout>
      <c:scatterChart>
        <c:scatterStyle val="lineMarker"/>
        <c:varyColors val="0"/>
        <c:ser>
          <c:idx val="4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808080"/>
                </a:solidFill>
                <a:prstDash val="sysDot"/>
              </a:ln>
              <a:effectLst/>
            </c:spPr>
            <c:trendlineType val="poly"/>
            <c:order val="4"/>
            <c:dispRSqr val="0"/>
            <c:dispEq val="0"/>
          </c:trendline>
          <c:xVal>
            <c:numRef>
              <c:f>'Test 1'!$AO$5:$AO$11</c:f>
              <c:numCache>
                <c:formatCode>0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1'!$AL$5:$AL$11</c:f>
              <c:numCache>
                <c:formatCode>0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 formatCode="General">
                  <c:v>#N/A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2FB-4E7C-ABAE-42240B282BD6}"/>
            </c:ext>
          </c:extLst>
        </c:ser>
        <c:ser>
          <c:idx val="1"/>
          <c:order val="1"/>
          <c:tx>
            <c:v>HF 130</c:v>
          </c:tx>
          <c:spPr>
            <a:ln w="2222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'Test 1'!$AM$5:$AM$11</c:f>
              <c:numCache>
                <c:formatCode>0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 formatCode="General">
                  <c:v>#N/A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xVal>
          <c:yVal>
            <c:numRef>
              <c:f>'Test 1'!$AN$5:$AN$11</c:f>
              <c:numCache>
                <c:formatCode>General</c:formatCode>
                <c:ptCount val="7"/>
                <c:pt idx="0">
                  <c:v>130</c:v>
                </c:pt>
                <c:pt idx="1">
                  <c:v>130</c:v>
                </c:pt>
                <c:pt idx="2">
                  <c:v>130</c:v>
                </c:pt>
                <c:pt idx="3">
                  <c:v>130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28-4EC4-AE3B-FCF945A133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0103392"/>
        <c:axId val="480108968"/>
      </c:scatterChart>
      <c:valAx>
        <c:axId val="480103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Leistung ( Watt 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out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8968"/>
        <c:crosses val="autoZero"/>
        <c:crossBetween val="midCat"/>
      </c:valAx>
      <c:valAx>
        <c:axId val="48010896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Herzfrequenz ( b / min )</a:t>
                </a:r>
              </a:p>
            </c:rich>
          </c:tx>
          <c:layout>
            <c:manualLayout>
              <c:xMode val="edge"/>
              <c:yMode val="edge"/>
              <c:x val="2.5631944444444435E-3"/>
              <c:y val="0.224936793994751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3392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 scaled="0"/>
        </a:gradFill>
        <a:ln>
          <a:noFill/>
        </a:ln>
        <a:effectLst/>
      </c:spPr>
    </c:plotArea>
    <c:legend>
      <c:legendPos val="r"/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bg1"/>
    </a:solidFill>
    <a:ln w="6350" cap="flat" cmpd="sng" algn="ctr">
      <a:solidFill>
        <a:srgbClr val="808080"/>
      </a:solidFill>
      <a:round/>
    </a:ln>
    <a:effectLst/>
  </c:spPr>
  <c:txPr>
    <a:bodyPr/>
    <a:lstStyle/>
    <a:p>
      <a:pPr>
        <a:defRPr sz="1400" b="1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187551657835894"/>
          <c:y val="7.2851901799567867E-2"/>
          <c:w val="0.71419100566387395"/>
          <c:h val="0.74636852713852753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>
              <a:noFill/>
            </a:ln>
          </c:spPr>
          <c:trendline>
            <c:spPr>
              <a:ln w="15875">
                <a:solidFill>
                  <a:schemeClr val="bg2">
                    <a:lumMod val="60000"/>
                    <a:lumOff val="40000"/>
                  </a:schemeClr>
                </a:solidFill>
                <a:prstDash val="sysDot"/>
              </a:ln>
            </c:spPr>
            <c:trendlineType val="poly"/>
            <c:order val="4"/>
            <c:dispRSqr val="0"/>
            <c:dispEq val="0"/>
          </c:trendline>
          <c:xVal>
            <c:numRef>
              <c:f>'Test 1'!$AW$5:$AW$11</c:f>
              <c:numCache>
                <c:formatCode>0\ "W"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1'!$AV$5:$AV$11</c:f>
              <c:numCache>
                <c:formatCode>General</c:formatCode>
                <c:ptCount val="7"/>
                <c:pt idx="0">
                  <c:v>1.4</c:v>
                </c:pt>
                <c:pt idx="1">
                  <c:v>1.7</c:v>
                </c:pt>
                <c:pt idx="2">
                  <c:v>2.7</c:v>
                </c:pt>
                <c:pt idx="3">
                  <c:v>4.2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D88-4A22-8734-B3BD1FBF039D}"/>
            </c:ext>
          </c:extLst>
        </c:ser>
        <c:ser>
          <c:idx val="1"/>
          <c:order val="1"/>
          <c:tx>
            <c:v>LT1 Test 1</c:v>
          </c:tx>
          <c:spPr>
            <a:ln w="25400">
              <a:solidFill>
                <a:schemeClr val="bg2">
                  <a:lumMod val="60000"/>
                  <a:lumOff val="40000"/>
                </a:schemeClr>
              </a:solidFill>
              <a:prstDash val="sysDot"/>
            </a:ln>
          </c:spPr>
          <c:marker>
            <c:spPr>
              <a:noFill/>
              <a:ln>
                <a:noFill/>
              </a:ln>
            </c:spPr>
          </c:marker>
          <c:xVal>
            <c:numRef>
              <c:f>'Test 1'!$AW$5:$AW$11</c:f>
              <c:numCache>
                <c:formatCode>0\ "W"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1'!$AX$5:$AX$11</c:f>
              <c:numCache>
                <c:formatCode>0.0</c:formatCode>
                <c:ptCount val="7"/>
                <c:pt idx="0">
                  <c:v>1.5999999999999999</c:v>
                </c:pt>
                <c:pt idx="1">
                  <c:v>1.5999999999999999</c:v>
                </c:pt>
                <c:pt idx="2">
                  <c:v>1.5999999999999999</c:v>
                </c:pt>
                <c:pt idx="3">
                  <c:v>1.5999999999999999</c:v>
                </c:pt>
                <c:pt idx="4">
                  <c:v>1.5999999999999999</c:v>
                </c:pt>
                <c:pt idx="5">
                  <c:v>1.5999999999999999</c:v>
                </c:pt>
                <c:pt idx="6">
                  <c:v>1.5999999999999999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7D88-4A22-8734-B3BD1FBF039D}"/>
            </c:ext>
          </c:extLst>
        </c:ser>
        <c:ser>
          <c:idx val="2"/>
          <c:order val="2"/>
          <c:tx>
            <c:v>LT2 Test 1</c:v>
          </c:tx>
          <c:spPr>
            <a:ln w="19050">
              <a:solidFill>
                <a:schemeClr val="bg2">
                  <a:lumMod val="60000"/>
                  <a:lumOff val="4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'Test 1'!$AW$5:$AW$11</c:f>
              <c:numCache>
                <c:formatCode>0\ "W"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1'!$BD$5:$BD$11</c:f>
              <c:numCache>
                <c:formatCode>0.0</c:formatCode>
                <c:ptCount val="7"/>
                <c:pt idx="0">
                  <c:v>3.0999999999999996</c:v>
                </c:pt>
                <c:pt idx="1">
                  <c:v>3.0999999999999996</c:v>
                </c:pt>
                <c:pt idx="2">
                  <c:v>3.0999999999999996</c:v>
                </c:pt>
                <c:pt idx="3">
                  <c:v>3.0999999999999996</c:v>
                </c:pt>
                <c:pt idx="4">
                  <c:v>3.0999999999999996</c:v>
                </c:pt>
                <c:pt idx="5">
                  <c:v>3.0999999999999996</c:v>
                </c:pt>
                <c:pt idx="6">
                  <c:v>3.0999999999999996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7D88-4A22-8734-B3BD1FBF03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11"/>
      </c:scatterChart>
      <c:valAx>
        <c:axId val="10"/>
        <c:scaling>
          <c:orientation val="minMax"/>
        </c:scaling>
        <c:delete val="0"/>
        <c:axPos val="b"/>
        <c:majorGridlines>
          <c:spPr>
            <a:ln w="9525">
              <a:solidFill>
                <a:srgbClr val="D8D8D8"/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Belastung (Watt)</a:t>
                </a:r>
              </a:p>
            </c:rich>
          </c:tx>
          <c:layout>
            <c:manualLayout>
              <c:xMode val="edge"/>
              <c:yMode val="edge"/>
              <c:x val="0.39097826363937527"/>
              <c:y val="0.90623163817230024"/>
            </c:manualLayout>
          </c:layout>
          <c:overlay val="0"/>
          <c:spPr>
            <a:noFill/>
            <a:ln w="9525">
              <a:noFill/>
            </a:ln>
          </c:spPr>
        </c:title>
        <c:numFmt formatCode="0" sourceLinked="0"/>
        <c:majorTickMark val="out"/>
        <c:minorTickMark val="none"/>
        <c:tickLblPos val="low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"/>
        <c:crosses val="autoZero"/>
        <c:crossBetween val="midCat"/>
        <c:minorUnit val="10"/>
      </c:valAx>
      <c:valAx>
        <c:axId val="11"/>
        <c:scaling>
          <c:orientation val="minMax"/>
        </c:scaling>
        <c:delete val="0"/>
        <c:axPos val="l"/>
        <c:majorGridlines>
          <c:spPr>
            <a:ln w="9525">
              <a:solidFill>
                <a:schemeClr val="bg1">
                  <a:lumMod val="65000"/>
                </a:schemeClr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 rot="16200000"/>
              <a:lstStyle/>
              <a:p>
                <a:pPr>
                  <a:defRPr/>
                </a:pPr>
                <a:r>
                  <a:rPr lang="de-DE"/>
                  <a:t>Laktat (mmol/l)</a:t>
                </a:r>
              </a:p>
            </c:rich>
          </c:tx>
          <c:layout>
            <c:manualLayout>
              <c:xMode val="edge"/>
              <c:yMode val="edge"/>
              <c:x val="8.52755056103424E-3"/>
              <c:y val="0.28374994562143824"/>
              <c:w val="5.7250000000000002E-2"/>
              <c:h val="0.31025000000000003"/>
            </c:manualLayout>
          </c:layout>
          <c:overlay val="0"/>
          <c:spPr>
            <a:noFill/>
            <a:ln w="9525">
              <a:noFill/>
            </a:ln>
          </c:spPr>
        </c:title>
        <c:numFmt formatCode="0.0" sourceLinked="0"/>
        <c:majorTickMark val="out"/>
        <c:minorTickMark val="in"/>
        <c:tickLblPos val="nextTo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0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/>
          <a:tileRect/>
        </a:gradFill>
        <a:ln w="9525">
          <a:solidFill>
            <a:srgbClr val="000000"/>
          </a:solidFill>
        </a:ln>
      </c:spPr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0.8326705554996815"/>
          <c:y val="0.22076187990313365"/>
          <c:w val="0.1673294445003185"/>
          <c:h val="0.2561418439716312"/>
        </c:manualLayout>
      </c:layout>
      <c:overlay val="1"/>
      <c:spPr>
        <a:noFill/>
        <a:ln w="9525">
          <a:noFill/>
        </a:ln>
      </c:spPr>
      <c:txPr>
        <a:bodyPr/>
        <a:lstStyle/>
        <a:p>
          <a:pPr>
            <a:defRPr sz="10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solidFill>
        <a:srgbClr val="D8D8D8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extLst>
    <c:ext xmlns:sm="smo" uri="smo">
      <sm:colorScheme xmlns:sm="smo" id="1582837308" val="15"/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66200988301646"/>
          <c:y val="7.2851901799567867E-2"/>
          <c:w val="0.7184679845761619"/>
          <c:h val="0.74636852713852753"/>
        </c:manualLayout>
      </c:layout>
      <c:scatterChart>
        <c:scatterStyle val="smoothMarker"/>
        <c:varyColors val="0"/>
        <c:ser>
          <c:idx val="3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bg2">
                  <a:lumMod val="60000"/>
                  <a:lumOff val="40000"/>
                </a:schemeClr>
              </a:solidFill>
            </c:spPr>
          </c:marker>
          <c:trendline>
            <c:spPr>
              <a:ln w="19050">
                <a:solidFill>
                  <a:schemeClr val="bg2">
                    <a:lumMod val="60000"/>
                    <a:lumOff val="40000"/>
                  </a:schemeClr>
                </a:solidFill>
                <a:prstDash val="sysDot"/>
              </a:ln>
            </c:spPr>
            <c:trendlineType val="poly"/>
            <c:order val="4"/>
            <c:dispRSqr val="0"/>
            <c:dispEq val="0"/>
          </c:trendline>
          <c:xVal>
            <c:numRef>
              <c:f>'Test 1'!$BH$5:$BH$11</c:f>
              <c:numCache>
                <c:formatCode>General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1'!$BG$5:$BG$11</c:f>
              <c:numCache>
                <c:formatCode>General</c:formatCode>
                <c:ptCount val="7"/>
                <c:pt idx="0">
                  <c:v>1.4</c:v>
                </c:pt>
                <c:pt idx="1">
                  <c:v>1.7</c:v>
                </c:pt>
                <c:pt idx="2">
                  <c:v>2.7</c:v>
                </c:pt>
                <c:pt idx="3">
                  <c:v>4.2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7C6D-4514-93B9-7A189A2CA0BD}"/>
            </c:ext>
          </c:extLst>
        </c:ser>
        <c:ser>
          <c:idx val="4"/>
          <c:order val="1"/>
          <c:tx>
            <c:v>LT1 Test 1</c:v>
          </c:tx>
          <c:spPr>
            <a:ln w="25400">
              <a:solidFill>
                <a:schemeClr val="bg2">
                  <a:lumMod val="60000"/>
                  <a:lumOff val="40000"/>
                </a:schemeClr>
              </a:solidFill>
              <a:prstDash val="sysDot"/>
            </a:ln>
          </c:spPr>
          <c:marker>
            <c:symbol val="none"/>
          </c:marker>
          <c:xVal>
            <c:numRef>
              <c:f>'Test 1'!$BH$5:$BH$11</c:f>
              <c:numCache>
                <c:formatCode>General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1'!$BI$5:$BI$11</c:f>
              <c:numCache>
                <c:formatCode>General</c:formatCode>
                <c:ptCount val="7"/>
                <c:pt idx="0">
                  <c:v>1.5999999999999999</c:v>
                </c:pt>
                <c:pt idx="1">
                  <c:v>1.5999999999999999</c:v>
                </c:pt>
                <c:pt idx="2">
                  <c:v>1.5999999999999999</c:v>
                </c:pt>
                <c:pt idx="3">
                  <c:v>1.5999999999999999</c:v>
                </c:pt>
                <c:pt idx="4">
                  <c:v>1.5999999999999999</c:v>
                </c:pt>
                <c:pt idx="5">
                  <c:v>1.5999999999999999</c:v>
                </c:pt>
                <c:pt idx="6">
                  <c:v>1.5999999999999999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7C6D-4514-93B9-7A189A2CA0BD}"/>
            </c:ext>
          </c:extLst>
        </c:ser>
        <c:ser>
          <c:idx val="5"/>
          <c:order val="2"/>
          <c:tx>
            <c:v>LT2  Test 1</c:v>
          </c:tx>
          <c:spPr>
            <a:ln w="19050">
              <a:solidFill>
                <a:schemeClr val="bg2">
                  <a:lumMod val="60000"/>
                  <a:lumOff val="4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'Test 1'!$BH$5:$BH$11</c:f>
              <c:numCache>
                <c:formatCode>General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1'!$BO$5:$BO$11</c:f>
              <c:numCache>
                <c:formatCode>General</c:formatCode>
                <c:ptCount val="7"/>
                <c:pt idx="0">
                  <c:v>3.0999999999999996</c:v>
                </c:pt>
                <c:pt idx="1">
                  <c:v>3.0999999999999996</c:v>
                </c:pt>
                <c:pt idx="2">
                  <c:v>3.0999999999999996</c:v>
                </c:pt>
                <c:pt idx="3">
                  <c:v>3.0999999999999996</c:v>
                </c:pt>
                <c:pt idx="4">
                  <c:v>3.0999999999999996</c:v>
                </c:pt>
                <c:pt idx="5">
                  <c:v>3.0999999999999996</c:v>
                </c:pt>
                <c:pt idx="6">
                  <c:v>3.0999999999999996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7C6D-4514-93B9-7A189A2CA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11"/>
      </c:scatterChart>
      <c:valAx>
        <c:axId val="10"/>
        <c:scaling>
          <c:orientation val="minMax"/>
          <c:min val="60"/>
        </c:scaling>
        <c:delete val="0"/>
        <c:axPos val="b"/>
        <c:majorGridlines>
          <c:spPr>
            <a:ln w="9525">
              <a:solidFill>
                <a:srgbClr val="D8D8D8"/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Herzfrequenz  (b/min)</a:t>
                </a:r>
              </a:p>
            </c:rich>
          </c:tx>
          <c:layout>
            <c:manualLayout>
              <c:xMode val="edge"/>
              <c:yMode val="edge"/>
              <c:x val="0.39097826363937527"/>
              <c:y val="0.90623163817230024"/>
            </c:manualLayout>
          </c:layout>
          <c:overlay val="0"/>
          <c:spPr>
            <a:noFill/>
            <a:ln w="9525">
              <a:noFill/>
            </a:ln>
          </c:spPr>
        </c:title>
        <c:numFmt formatCode="0" sourceLinked="0"/>
        <c:majorTickMark val="out"/>
        <c:minorTickMark val="none"/>
        <c:tickLblPos val="low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"/>
        <c:crosses val="autoZero"/>
        <c:crossBetween val="midCat"/>
        <c:minorUnit val="5"/>
      </c:valAx>
      <c:valAx>
        <c:axId val="11"/>
        <c:scaling>
          <c:orientation val="minMax"/>
        </c:scaling>
        <c:delete val="0"/>
        <c:axPos val="l"/>
        <c:majorGridlines>
          <c:spPr>
            <a:ln w="9525">
              <a:solidFill>
                <a:schemeClr val="bg1">
                  <a:lumMod val="65000"/>
                </a:schemeClr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 rot="16200000"/>
              <a:lstStyle/>
              <a:p>
                <a:pPr>
                  <a:defRPr/>
                </a:pPr>
                <a:r>
                  <a:rPr lang="de-DE"/>
                  <a:t>Laktat (mmol/l)</a:t>
                </a:r>
              </a:p>
            </c:rich>
          </c:tx>
          <c:layout>
            <c:manualLayout>
              <c:xMode val="edge"/>
              <c:yMode val="edge"/>
              <c:x val="8.52755056103424E-3"/>
              <c:y val="0.28374994562143824"/>
              <c:w val="5.7250000000000002E-2"/>
              <c:h val="0.31025000000000003"/>
            </c:manualLayout>
          </c:layout>
          <c:overlay val="0"/>
          <c:spPr>
            <a:noFill/>
            <a:ln w="9525">
              <a:noFill/>
            </a:ln>
          </c:spPr>
        </c:title>
        <c:numFmt formatCode="0.0" sourceLinked="0"/>
        <c:majorTickMark val="out"/>
        <c:minorTickMark val="in"/>
        <c:tickLblPos val="nextTo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0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/>
          <a:tileRect/>
        </a:gradFill>
        <a:ln w="9525">
          <a:solidFill>
            <a:srgbClr val="000000"/>
          </a:solidFill>
        </a:ln>
      </c:spPr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0.83001977940929983"/>
          <c:y val="0.19824408983451533"/>
          <c:w val="0.16756076301585707"/>
          <c:h val="0.23643971631205674"/>
        </c:manualLayout>
      </c:layout>
      <c:overlay val="1"/>
      <c:spPr>
        <a:noFill/>
        <a:ln w="9525">
          <a:noFill/>
        </a:ln>
      </c:spPr>
      <c:txPr>
        <a:bodyPr/>
        <a:lstStyle/>
        <a:p>
          <a:pPr>
            <a:defRPr sz="10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solidFill>
        <a:srgbClr val="D8D8D8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extLst>
    <c:ext xmlns:sm="smo" uri="smo">
      <sm:colorScheme xmlns:sm="smo" id="1582837308" val="15"/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548503317355145"/>
          <c:y val="0.12378477043020671"/>
          <c:w val="0.73014672491402322"/>
          <c:h val="0.71201879666398038"/>
        </c:manualLayout>
      </c:layout>
      <c:scatterChart>
        <c:scatterStyle val="lineMarker"/>
        <c:varyColors val="0"/>
        <c:ser>
          <c:idx val="0"/>
          <c:order val="0"/>
          <c:tx>
            <c:strRef>
              <c:f>'MET &amp; PWC'!$D$13</c:f>
              <c:strCache>
                <c:ptCount val="1"/>
                <c:pt idx="0">
                  <c:v>15.03.19</c:v>
                </c:pt>
              </c:strCache>
            </c:strRef>
          </c:tx>
          <c:spPr>
            <a:ln w="9525">
              <a:noFill/>
            </a:ln>
          </c:spPr>
          <c:marker>
            <c:symbol val="diamond"/>
            <c:size val="7"/>
          </c:marker>
          <c:xVal>
            <c:numRef>
              <c:f>'MET &amp; PWC'!$H$13</c:f>
              <c:numCache>
                <c:formatCode>#,##0.0</c:formatCode>
                <c:ptCount val="1"/>
                <c:pt idx="0">
                  <c:v>1.3734939759036144</c:v>
                </c:pt>
              </c:numCache>
            </c:numRef>
          </c:xVal>
          <c:yVal>
            <c:numRef>
              <c:f>'MET &amp; PWC'!$G$13</c:f>
              <c:numCache>
                <c:formatCode>#,##0.0</c:formatCode>
                <c:ptCount val="1"/>
                <c:pt idx="0">
                  <c:v>4.0597590361445786</c:v>
                </c:pt>
              </c:numCache>
            </c:numRef>
          </c:y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BD86-4F9D-AFAF-7C6F6939B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11"/>
      </c:scatterChart>
      <c:valAx>
        <c:axId val="10"/>
        <c:scaling>
          <c:orientation val="minMax"/>
          <c:max val="3"/>
          <c:min val="0"/>
        </c:scaling>
        <c:delete val="0"/>
        <c:axPos val="b"/>
        <c:majorGridlines/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000000"/>
                    </a:solidFill>
                    <a:latin typeface="+mn-lt"/>
                  </a:defRPr>
                </a:pPr>
                <a:r>
                  <a:rPr lang="de-DE" sz="1400">
                    <a:latin typeface="+mn-lt"/>
                  </a:rPr>
                  <a:t>Physical Working Capacity 130  [ Watt / kg bei 130 b/min ]</a:t>
                </a:r>
              </a:p>
            </c:rich>
          </c:tx>
          <c:layout>
            <c:manualLayout>
              <c:xMode val="edge"/>
              <c:yMode val="edge"/>
              <c:x val="0.17699999999999999"/>
              <c:y val="0.94374999999999998"/>
              <c:w val="0.73524999999999996"/>
              <c:h val="5.1249999999999997E-2"/>
            </c:manualLayout>
          </c:layout>
          <c:overlay val="0"/>
          <c:spPr>
            <a:ln>
              <a:noFill/>
            </a:ln>
          </c:spPr>
        </c:title>
        <c:numFmt formatCode="#,##0.0" sourceLinked="0"/>
        <c:majorTickMark val="out"/>
        <c:minorTickMark val="in"/>
        <c:tickLblPos val="nextTo"/>
        <c:crossAx val="11"/>
        <c:crosses val="autoZero"/>
        <c:crossBetween val="midCat"/>
        <c:majorUnit val="1"/>
        <c:minorUnit val="0.5"/>
      </c:valAx>
      <c:valAx>
        <c:axId val="11"/>
        <c:scaling>
          <c:orientation val="minMax"/>
          <c:max val="9"/>
          <c:min val="0"/>
        </c:scaling>
        <c:delete val="0"/>
        <c:axPos val="l"/>
        <c:majorGridlines/>
        <c:title>
          <c:tx>
            <c:rich>
              <a:bodyPr rot="16200000" anchor="ctr" anchorCtr="1"/>
              <a:lstStyle/>
              <a:p>
                <a:pPr>
                  <a:defRPr lang="de-de" sz="1400" b="1" i="0" u="none" strike="noStrike" kern="100">
                    <a:solidFill>
                      <a:srgbClr val="000000"/>
                    </a:solidFill>
                    <a:latin typeface="+mn-lt"/>
                  </a:defRPr>
                </a:pPr>
                <a:r>
                  <a:rPr lang="de-DE" sz="1400">
                    <a:latin typeface="+mn-lt"/>
                  </a:rPr>
                  <a:t>zusätzlicher Kalorienverbrauch an LT</a:t>
                </a:r>
                <a:r>
                  <a:rPr lang="de-DE" sz="1400" baseline="-25000">
                    <a:latin typeface="+mn-lt"/>
                  </a:rPr>
                  <a:t>2</a:t>
                </a:r>
                <a:br>
                  <a:rPr lang="de-DE" sz="1400">
                    <a:latin typeface="+mn-lt"/>
                  </a:rPr>
                </a:br>
                <a:r>
                  <a:rPr lang="de-DE" sz="1400">
                    <a:latin typeface="+mn-lt"/>
                  </a:rPr>
                  <a:t> in MET ( kcal</a:t>
                </a:r>
                <a:r>
                  <a:rPr lang="de-DE" sz="1400" baseline="0">
                    <a:latin typeface="+mn-lt"/>
                  </a:rPr>
                  <a:t> </a:t>
                </a:r>
                <a:r>
                  <a:rPr lang="de-DE" sz="1400">
                    <a:latin typeface="+mn-lt"/>
                  </a:rPr>
                  <a:t>/</a:t>
                </a:r>
                <a:r>
                  <a:rPr lang="de-DE" sz="1400" baseline="0">
                    <a:latin typeface="+mn-lt"/>
                  </a:rPr>
                  <a:t> </a:t>
                </a:r>
                <a:r>
                  <a:rPr lang="de-DE" sz="1400">
                    <a:latin typeface="+mn-lt"/>
                  </a:rPr>
                  <a:t>kg / h )</a:t>
                </a:r>
              </a:p>
            </c:rich>
          </c:tx>
          <c:layout>
            <c:manualLayout>
              <c:xMode val="edge"/>
              <c:yMode val="edge"/>
              <c:x val="2.8993905272802115E-2"/>
              <c:y val="0.23048671320523897"/>
              <c:w val="6.275E-2"/>
              <c:h val="0.70374999999999999"/>
            </c:manualLayout>
          </c:layout>
          <c:overlay val="0"/>
          <c:spPr>
            <a:ln>
              <a:noFill/>
            </a:ln>
          </c:spPr>
        </c:title>
        <c:numFmt formatCode="#,##0.0" sourceLinked="1"/>
        <c:majorTickMark val="out"/>
        <c:minorTickMark val="in"/>
        <c:tickLblPos val="nextTo"/>
        <c:crossAx val="10"/>
        <c:crosses val="autoZero"/>
        <c:crossBetween val="midCat"/>
        <c:majorUnit val="3"/>
        <c:minorUnit val="1"/>
      </c:valAx>
      <c:spPr>
        <a:blipFill>
          <a:blip xmlns:r="http://schemas.openxmlformats.org/officeDocument/2006/relationships" r:embed="rId1"/>
          <a:stretch>
            <a:fillRect/>
          </a:stretch>
        </a:blipFill>
      </c:spPr>
    </c:plotArea>
    <c:legend>
      <c:legendPos val="r"/>
      <c:layout>
        <c:manualLayout>
          <c:xMode val="edge"/>
          <c:yMode val="edge"/>
          <c:x val="0.73174326851316107"/>
          <c:y val="0.65106828354223911"/>
          <c:w val="0.17241008611942676"/>
          <c:h val="0.10476848840257486"/>
        </c:manualLayout>
      </c:layout>
      <c:overlay val="0"/>
      <c:txPr>
        <a:bodyPr/>
        <a:lstStyle/>
        <a:p>
          <a:pPr>
            <a:defRPr sz="1000" b="1">
              <a:latin typeface="+mn-lt"/>
            </a:defRPr>
          </a:pPr>
          <a:endParaRPr lang="de-DE"/>
        </a:p>
      </c:txPr>
    </c:legend>
    <c:plotVisOnly val="1"/>
    <c:dispBlanksAs val="gap"/>
    <c:showDLblsOverMax val="0"/>
  </c:chart>
  <c:txPr>
    <a:bodyPr rot="0" anchor="t"/>
    <a:lstStyle/>
    <a:p>
      <a:pPr>
        <a:defRPr lang="de-de" sz="1400" b="0" i="0" u="none" strike="noStrike" kern="100">
          <a:solidFill>
            <a:srgbClr val="000000"/>
          </a:solidFill>
          <a:latin typeface="Futura Bk BT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extLst>
    <c:ext xmlns:sm="smo" uri="smo">
      <sm:colorScheme xmlns:sm="smo" id="1582837308" val="15"/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104774</xdr:colOff>
      <xdr:row>22</xdr:row>
      <xdr:rowOff>85726</xdr:rowOff>
    </xdr:from>
    <xdr:to>
      <xdr:col>6</xdr:col>
      <xdr:colOff>893504</xdr:colOff>
      <xdr:row>42</xdr:row>
      <xdr:rowOff>76900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24</xdr:row>
      <xdr:rowOff>104777</xdr:rowOff>
    </xdr:from>
    <xdr:to>
      <xdr:col>7</xdr:col>
      <xdr:colOff>635550</xdr:colOff>
      <xdr:row>43</xdr:row>
      <xdr:rowOff>26523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104775</xdr:colOff>
      <xdr:row>7</xdr:row>
      <xdr:rowOff>3</xdr:rowOff>
    </xdr:from>
    <xdr:to>
      <xdr:col>7</xdr:col>
      <xdr:colOff>635550</xdr:colOff>
      <xdr:row>24</xdr:row>
      <xdr:rowOff>4904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114301</xdr:colOff>
      <xdr:row>43</xdr:row>
      <xdr:rowOff>142058</xdr:rowOff>
    </xdr:from>
    <xdr:to>
      <xdr:col>6</xdr:col>
      <xdr:colOff>508176</xdr:colOff>
      <xdr:row>45</xdr:row>
      <xdr:rowOff>57150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776" y="8447858"/>
          <a:ext cx="4118150" cy="29609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64771</xdr:colOff>
      <xdr:row>8</xdr:row>
      <xdr:rowOff>22859</xdr:rowOff>
    </xdr:from>
    <xdr:to>
      <xdr:col>8</xdr:col>
      <xdr:colOff>567031</xdr:colOff>
      <xdr:row>25</xdr:row>
      <xdr:rowOff>175979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57150</xdr:colOff>
      <xdr:row>26</xdr:row>
      <xdr:rowOff>137160</xdr:rowOff>
    </xdr:from>
    <xdr:to>
      <xdr:col>8</xdr:col>
      <xdr:colOff>559410</xdr:colOff>
      <xdr:row>44</xdr:row>
      <xdr:rowOff>182022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16</xdr:row>
      <xdr:rowOff>85725</xdr:rowOff>
    </xdr:from>
    <xdr:to>
      <xdr:col>7</xdr:col>
      <xdr:colOff>876300</xdr:colOff>
      <xdr:row>43</xdr:row>
      <xdr:rowOff>92075</xdr:rowOff>
    </xdr:to>
    <xdr:graphicFrame macro="">
      <xdr:nvGraphicFramePr>
        <xdr:cNvPr id="3" name="Diagramm 6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381000</xdr:colOff>
      <xdr:row>3</xdr:row>
      <xdr:rowOff>9525</xdr:rowOff>
    </xdr:from>
    <xdr:to>
      <xdr:col>7</xdr:col>
      <xdr:colOff>857250</xdr:colOff>
      <xdr:row>9</xdr:row>
      <xdr:rowOff>142875</xdr:rowOff>
    </xdr:to>
    <xdr:sp macro="" textlink="" fLocksText="0">
      <xdr:nvSpPr>
        <xdr:cNvPr id="2" name="Textfeld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extLst>
            <a:ext uri="smNativeData">
              <pm:smNativeData xmlns:pm="smNativeData" xmlns="" val="SMDATA_11_PC5YXhMAAAAlAAAAZAAAAI0AAAAAkAAAAEgAAACQAAAAS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BAAAAAAAAAL29vQ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DAwIj4MAAAAEAAAAAAAAAAAAAAAAAAAAAAAAAAeAAAAaAAAAAAAAAAAAAAAAAAAAAAAAAAAAAAAECcAABAnAAAAAAAAAAAAAAAAAAAAAAAAAAAAAAAAAAAAAAAAAAAAABQAAAAAAAAAwMD/AAAAAABkAAAAMgAAAAAAAABkAAAAAAAAAH9/fwAKAAAAIQAAADAAAAAsAAAAAgAAAAMAAAAAAAAABwAAAAcAAADsAs4CogwAAGACAABoFwAA5QYAAAAAAAA="/>
            </a:ext>
          </a:extLst>
        </xdr:cNvSpPr>
      </xdr:nvSpPr>
      <xdr:spPr>
        <a:xfrm>
          <a:off x="1905000" y="685800"/>
          <a:ext cx="3810000" cy="1276350"/>
        </a:xfrm>
        <a:prstGeom prst="rect">
          <a:avLst/>
        </a:prstGeom>
        <a:solidFill>
          <a:srgbClr val="FFFFFF"/>
        </a:solidFill>
        <a:ln w="9525" cap="flat">
          <a:solidFill>
            <a:srgbClr val="BDBDBD"/>
          </a:solidFill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91440" tIns="45720" rIns="91440" bIns="45720" anchor="t" upright="1"/>
        <a:lstStyle/>
        <a:p>
          <a:pPr algn="l" defTabSz="360045" rtl="0">
            <a:defRPr sz="1000"/>
          </a:pP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Die nachfolgende Kalkulation geht davon aus, dass </a:t>
          </a:r>
          <a:br/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13 ml O</a:t>
          </a:r>
          <a:r>
            <a:rPr lang="de-de" sz="1100" b="0" i="0" u="none" strike="noStrike" kern="100" baseline="-1200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2</a:t>
          </a: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 / min / Watt Leistung verbraucht werden.</a:t>
          </a:r>
        </a:p>
        <a:p>
          <a:pPr algn="l" defTabSz="360045" rtl="0">
            <a:defRPr sz="1000"/>
          </a:pPr>
          <a:endParaRPr/>
        </a:p>
        <a:p>
          <a:pPr algn="l" defTabSz="360045" rtl="0">
            <a:defRPr sz="1000"/>
          </a:pP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1 MET = 3,5 ml O</a:t>
          </a:r>
          <a:r>
            <a:rPr lang="de-de" sz="1100" b="0" i="0" u="none" strike="noStrike" kern="100" baseline="-1200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2</a:t>
          </a: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 / kg / min  = 1 kcal / kg / h</a:t>
          </a:r>
          <a:br/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(=3,5 * 60 * 4,8 ) =  1  kcal / kg / h   =   Grundumsatz</a:t>
          </a:r>
        </a:p>
        <a:p>
          <a:pPr algn="l" defTabSz="360045" rtl="0">
            <a:defRPr sz="1000"/>
          </a:pP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4,8 kcal / l O</a:t>
          </a:r>
          <a:r>
            <a:rPr lang="de-de" sz="1100" b="0" i="0" u="none" strike="noStrike" kern="100" baseline="-1200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2 </a:t>
          </a: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 = mittleres Kalorisches Äquivalent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67"/>
  <sheetViews>
    <sheetView tabSelected="1" view="pageLayout" zoomScaleNormal="85" workbookViewId="0">
      <selection sqref="A1:C67"/>
    </sheetView>
  </sheetViews>
  <sheetFormatPr baseColWidth="10" defaultRowHeight="14.4" x14ac:dyDescent="0.3"/>
  <cols>
    <col min="1" max="1" width="11.44140625" style="10"/>
    <col min="2" max="2" width="14" bestFit="1" customWidth="1"/>
    <col min="3" max="3" width="17.44140625" style="2" customWidth="1"/>
  </cols>
  <sheetData>
    <row r="1" spans="1:3" s="10" customFormat="1" x14ac:dyDescent="0.3">
      <c r="A1" s="122"/>
      <c r="B1" s="112"/>
      <c r="C1" s="123" t="s">
        <v>58</v>
      </c>
    </row>
    <row r="2" spans="1:3" x14ac:dyDescent="0.3">
      <c r="A2" s="124"/>
      <c r="B2" s="58" t="s">
        <v>1</v>
      </c>
      <c r="C2" s="145">
        <v>43539</v>
      </c>
    </row>
    <row r="3" spans="1:3" x14ac:dyDescent="0.3">
      <c r="A3" s="124"/>
      <c r="B3" s="58" t="s">
        <v>0</v>
      </c>
      <c r="C3" s="146" t="s">
        <v>0</v>
      </c>
    </row>
    <row r="4" spans="1:3" x14ac:dyDescent="0.3">
      <c r="A4" s="124"/>
      <c r="B4" s="58" t="s">
        <v>2</v>
      </c>
      <c r="C4" s="146" t="s">
        <v>2</v>
      </c>
    </row>
    <row r="5" spans="1:3" x14ac:dyDescent="0.3">
      <c r="A5" s="124"/>
      <c r="B5" s="58" t="s">
        <v>5</v>
      </c>
      <c r="C5" s="125" t="s">
        <v>59</v>
      </c>
    </row>
    <row r="6" spans="1:3" x14ac:dyDescent="0.3">
      <c r="A6" s="124"/>
      <c r="B6" s="58" t="s">
        <v>47</v>
      </c>
      <c r="C6" s="145">
        <v>23133</v>
      </c>
    </row>
    <row r="7" spans="1:3" x14ac:dyDescent="0.3">
      <c r="A7" s="124"/>
      <c r="B7" s="58" t="s">
        <v>43</v>
      </c>
      <c r="C7" s="146"/>
    </row>
    <row r="8" spans="1:3" x14ac:dyDescent="0.3">
      <c r="A8" s="124"/>
      <c r="B8" s="58" t="s">
        <v>46</v>
      </c>
      <c r="C8" s="147">
        <v>157</v>
      </c>
    </row>
    <row r="9" spans="1:3" x14ac:dyDescent="0.3">
      <c r="A9" s="124"/>
      <c r="B9" s="58" t="s">
        <v>7</v>
      </c>
      <c r="C9" s="148">
        <v>83</v>
      </c>
    </row>
    <row r="10" spans="1:3" x14ac:dyDescent="0.3">
      <c r="A10" s="124"/>
      <c r="B10" s="58" t="s">
        <v>3</v>
      </c>
      <c r="C10" s="146"/>
    </row>
    <row r="11" spans="1:3" x14ac:dyDescent="0.3">
      <c r="A11" s="124"/>
      <c r="B11" s="58" t="s">
        <v>48</v>
      </c>
      <c r="C11" s="149">
        <v>0</v>
      </c>
    </row>
    <row r="12" spans="1:3" x14ac:dyDescent="0.3">
      <c r="A12" s="124"/>
      <c r="B12" s="58" t="s">
        <v>10</v>
      </c>
      <c r="C12" s="149">
        <v>40</v>
      </c>
    </row>
    <row r="13" spans="1:3" ht="15" thickBot="1" x14ac:dyDescent="0.35">
      <c r="A13" s="126"/>
      <c r="B13" s="22" t="s">
        <v>49</v>
      </c>
      <c r="C13" s="150">
        <v>0.125</v>
      </c>
    </row>
    <row r="14" spans="1:3" ht="15" customHeight="1" x14ac:dyDescent="0.3">
      <c r="A14" s="134" t="s">
        <v>71</v>
      </c>
      <c r="B14" s="23" t="s">
        <v>78</v>
      </c>
      <c r="C14" s="121">
        <f>C13</f>
        <v>0.125</v>
      </c>
    </row>
    <row r="15" spans="1:3" x14ac:dyDescent="0.3">
      <c r="A15" s="134"/>
      <c r="B15" s="23" t="s">
        <v>28</v>
      </c>
      <c r="C15" s="114">
        <f>C11</f>
        <v>0</v>
      </c>
    </row>
    <row r="16" spans="1:3" x14ac:dyDescent="0.3">
      <c r="A16" s="134"/>
      <c r="B16" s="23" t="s">
        <v>79</v>
      </c>
      <c r="C16" s="115">
        <v>120</v>
      </c>
    </row>
    <row r="17" spans="1:3" x14ac:dyDescent="0.3">
      <c r="A17" s="134"/>
      <c r="B17" s="23" t="s">
        <v>80</v>
      </c>
      <c r="C17" s="115">
        <v>70</v>
      </c>
    </row>
    <row r="18" spans="1:3" x14ac:dyDescent="0.3">
      <c r="A18" s="134"/>
      <c r="B18" s="23" t="s">
        <v>81</v>
      </c>
      <c r="C18" s="116">
        <v>76</v>
      </c>
    </row>
    <row r="19" spans="1:3" ht="15.75" customHeight="1" thickBot="1" x14ac:dyDescent="0.35">
      <c r="A19" s="135"/>
      <c r="B19" s="24" t="s">
        <v>82</v>
      </c>
      <c r="C19" s="117">
        <v>1.4</v>
      </c>
    </row>
    <row r="20" spans="1:3" x14ac:dyDescent="0.3">
      <c r="A20" s="133" t="s">
        <v>72</v>
      </c>
      <c r="B20" s="111" t="s">
        <v>78</v>
      </c>
      <c r="C20" s="113">
        <f>C14+$C$13</f>
        <v>0.25</v>
      </c>
    </row>
    <row r="21" spans="1:3" x14ac:dyDescent="0.3">
      <c r="A21" s="134"/>
      <c r="B21" s="23" t="s">
        <v>28</v>
      </c>
      <c r="C21" s="114">
        <f>C15+$C$12</f>
        <v>40</v>
      </c>
    </row>
    <row r="22" spans="1:3" x14ac:dyDescent="0.3">
      <c r="A22" s="134"/>
      <c r="B22" s="23" t="s">
        <v>79</v>
      </c>
      <c r="C22" s="115">
        <v>130</v>
      </c>
    </row>
    <row r="23" spans="1:3" x14ac:dyDescent="0.3">
      <c r="A23" s="134"/>
      <c r="B23" s="23" t="s">
        <v>80</v>
      </c>
      <c r="C23" s="115">
        <v>75</v>
      </c>
    </row>
    <row r="24" spans="1:3" ht="15" customHeight="1" x14ac:dyDescent="0.3">
      <c r="A24" s="134"/>
      <c r="B24" s="23" t="s">
        <v>81</v>
      </c>
      <c r="C24" s="116">
        <v>88</v>
      </c>
    </row>
    <row r="25" spans="1:3" ht="15" thickBot="1" x14ac:dyDescent="0.35">
      <c r="A25" s="135"/>
      <c r="B25" s="24" t="s">
        <v>82</v>
      </c>
      <c r="C25" s="117">
        <v>1.7</v>
      </c>
    </row>
    <row r="26" spans="1:3" ht="15" customHeight="1" x14ac:dyDescent="0.3">
      <c r="A26" s="133" t="s">
        <v>73</v>
      </c>
      <c r="B26" s="111" t="s">
        <v>78</v>
      </c>
      <c r="C26" s="113">
        <f>C20+$C$13</f>
        <v>0.375</v>
      </c>
    </row>
    <row r="27" spans="1:3" x14ac:dyDescent="0.3">
      <c r="A27" s="134"/>
      <c r="B27" s="23" t="s">
        <v>28</v>
      </c>
      <c r="C27" s="114">
        <f>C21+$C$12</f>
        <v>80</v>
      </c>
    </row>
    <row r="28" spans="1:3" x14ac:dyDescent="0.3">
      <c r="A28" s="134"/>
      <c r="B28" s="23" t="s">
        <v>79</v>
      </c>
      <c r="C28" s="115">
        <v>145</v>
      </c>
    </row>
    <row r="29" spans="1:3" ht="15" customHeight="1" x14ac:dyDescent="0.3">
      <c r="A29" s="134"/>
      <c r="B29" s="23" t="s">
        <v>80</v>
      </c>
      <c r="C29" s="115">
        <v>70</v>
      </c>
    </row>
    <row r="30" spans="1:3" x14ac:dyDescent="0.3">
      <c r="A30" s="134"/>
      <c r="B30" s="23" t="s">
        <v>81</v>
      </c>
      <c r="C30" s="116">
        <v>110</v>
      </c>
    </row>
    <row r="31" spans="1:3" ht="15" thickBot="1" x14ac:dyDescent="0.35">
      <c r="A31" s="135"/>
      <c r="B31" s="24" t="s">
        <v>82</v>
      </c>
      <c r="C31" s="117">
        <v>2.7</v>
      </c>
    </row>
    <row r="32" spans="1:3" ht="15" customHeight="1" x14ac:dyDescent="0.3">
      <c r="A32" s="133" t="s">
        <v>74</v>
      </c>
      <c r="B32" s="111" t="s">
        <v>78</v>
      </c>
      <c r="C32" s="113">
        <f>C26+$C$13</f>
        <v>0.5</v>
      </c>
    </row>
    <row r="33" spans="1:3" x14ac:dyDescent="0.3">
      <c r="A33" s="134"/>
      <c r="B33" s="23" t="s">
        <v>28</v>
      </c>
      <c r="C33" s="114">
        <f>C27+$C$12</f>
        <v>120</v>
      </c>
    </row>
    <row r="34" spans="1:3" ht="15" customHeight="1" x14ac:dyDescent="0.3">
      <c r="A34" s="134"/>
      <c r="B34" s="23" t="s">
        <v>79</v>
      </c>
      <c r="C34" s="115">
        <v>160</v>
      </c>
    </row>
    <row r="35" spans="1:3" x14ac:dyDescent="0.3">
      <c r="A35" s="134"/>
      <c r="B35" s="23" t="s">
        <v>80</v>
      </c>
      <c r="C35" s="115">
        <v>75</v>
      </c>
    </row>
    <row r="36" spans="1:3" x14ac:dyDescent="0.3">
      <c r="A36" s="134"/>
      <c r="B36" s="23" t="s">
        <v>81</v>
      </c>
      <c r="C36" s="116">
        <v>132</v>
      </c>
    </row>
    <row r="37" spans="1:3" ht="15" thickBot="1" x14ac:dyDescent="0.35">
      <c r="A37" s="135"/>
      <c r="B37" s="24" t="s">
        <v>82</v>
      </c>
      <c r="C37" s="117">
        <v>4.2</v>
      </c>
    </row>
    <row r="38" spans="1:3" ht="15" customHeight="1" x14ac:dyDescent="0.3">
      <c r="A38" s="133" t="s">
        <v>75</v>
      </c>
      <c r="B38" s="111" t="s">
        <v>78</v>
      </c>
      <c r="C38" s="113">
        <f>C32+$C$13</f>
        <v>0.625</v>
      </c>
    </row>
    <row r="39" spans="1:3" ht="15" customHeight="1" x14ac:dyDescent="0.3">
      <c r="A39" s="134"/>
      <c r="B39" s="23" t="s">
        <v>28</v>
      </c>
      <c r="C39" s="114">
        <f>C33+$C$12</f>
        <v>160</v>
      </c>
    </row>
    <row r="40" spans="1:3" x14ac:dyDescent="0.3">
      <c r="A40" s="134"/>
      <c r="B40" s="23" t="s">
        <v>79</v>
      </c>
      <c r="C40" s="115"/>
    </row>
    <row r="41" spans="1:3" x14ac:dyDescent="0.3">
      <c r="A41" s="134"/>
      <c r="B41" s="23" t="s">
        <v>80</v>
      </c>
      <c r="C41" s="115"/>
    </row>
    <row r="42" spans="1:3" x14ac:dyDescent="0.3">
      <c r="A42" s="134"/>
      <c r="B42" s="23" t="s">
        <v>81</v>
      </c>
      <c r="C42" s="116"/>
    </row>
    <row r="43" spans="1:3" ht="15" thickBot="1" x14ac:dyDescent="0.35">
      <c r="A43" s="135"/>
      <c r="B43" s="24" t="s">
        <v>82</v>
      </c>
      <c r="C43" s="117"/>
    </row>
    <row r="44" spans="1:3" ht="15" customHeight="1" x14ac:dyDescent="0.3">
      <c r="A44" s="133" t="s">
        <v>76</v>
      </c>
      <c r="B44" s="111" t="s">
        <v>78</v>
      </c>
      <c r="C44" s="113">
        <f>C38+$C$13</f>
        <v>0.75</v>
      </c>
    </row>
    <row r="45" spans="1:3" x14ac:dyDescent="0.3">
      <c r="A45" s="134"/>
      <c r="B45" s="23" t="s">
        <v>28</v>
      </c>
      <c r="C45" s="114">
        <f>C39+$C$12</f>
        <v>200</v>
      </c>
    </row>
    <row r="46" spans="1:3" x14ac:dyDescent="0.3">
      <c r="A46" s="134"/>
      <c r="B46" s="23" t="s">
        <v>79</v>
      </c>
      <c r="C46" s="115"/>
    </row>
    <row r="47" spans="1:3" x14ac:dyDescent="0.3">
      <c r="A47" s="134"/>
      <c r="B47" s="23" t="s">
        <v>80</v>
      </c>
      <c r="C47" s="115"/>
    </row>
    <row r="48" spans="1:3" x14ac:dyDescent="0.3">
      <c r="A48" s="134"/>
      <c r="B48" s="23" t="s">
        <v>81</v>
      </c>
      <c r="C48" s="116"/>
    </row>
    <row r="49" spans="1:3" ht="15.75" customHeight="1" thickBot="1" x14ac:dyDescent="0.35">
      <c r="A49" s="135"/>
      <c r="B49" s="24" t="s">
        <v>82</v>
      </c>
      <c r="C49" s="117"/>
    </row>
    <row r="50" spans="1:3" ht="15" customHeight="1" x14ac:dyDescent="0.3">
      <c r="A50" s="133" t="s">
        <v>77</v>
      </c>
      <c r="B50" s="111" t="s">
        <v>78</v>
      </c>
      <c r="C50" s="113">
        <f>C44+$C$13</f>
        <v>0.875</v>
      </c>
    </row>
    <row r="51" spans="1:3" x14ac:dyDescent="0.3">
      <c r="A51" s="134"/>
      <c r="B51" s="23" t="s">
        <v>28</v>
      </c>
      <c r="C51" s="114">
        <f>C45+$C$12</f>
        <v>240</v>
      </c>
    </row>
    <row r="52" spans="1:3" x14ac:dyDescent="0.3">
      <c r="A52" s="134"/>
      <c r="B52" s="23" t="s">
        <v>79</v>
      </c>
      <c r="C52" s="115"/>
    </row>
    <row r="53" spans="1:3" x14ac:dyDescent="0.3">
      <c r="A53" s="134"/>
      <c r="B53" s="23" t="s">
        <v>80</v>
      </c>
      <c r="C53" s="115"/>
    </row>
    <row r="54" spans="1:3" ht="15" customHeight="1" x14ac:dyDescent="0.3">
      <c r="A54" s="134"/>
      <c r="B54" s="23" t="s">
        <v>81</v>
      </c>
      <c r="C54" s="116"/>
    </row>
    <row r="55" spans="1:3" ht="15" thickBot="1" x14ac:dyDescent="0.35">
      <c r="A55" s="135"/>
      <c r="B55" s="24" t="s">
        <v>82</v>
      </c>
      <c r="C55" s="117"/>
    </row>
    <row r="56" spans="1:3" ht="15" customHeight="1" x14ac:dyDescent="0.3">
      <c r="A56" s="133" t="s">
        <v>83</v>
      </c>
      <c r="B56" s="111" t="s">
        <v>78</v>
      </c>
      <c r="C56" s="113">
        <f>C13</f>
        <v>0.125</v>
      </c>
    </row>
    <row r="57" spans="1:3" x14ac:dyDescent="0.3">
      <c r="A57" s="134"/>
      <c r="B57" s="23" t="s">
        <v>28</v>
      </c>
      <c r="C57" s="114">
        <v>0</v>
      </c>
    </row>
    <row r="58" spans="1:3" x14ac:dyDescent="0.3">
      <c r="A58" s="134"/>
      <c r="B58" s="23" t="s">
        <v>79</v>
      </c>
      <c r="C58" s="118">
        <v>130</v>
      </c>
    </row>
    <row r="59" spans="1:3" x14ac:dyDescent="0.3">
      <c r="A59" s="134"/>
      <c r="B59" s="23" t="s">
        <v>80</v>
      </c>
      <c r="C59" s="118">
        <v>75</v>
      </c>
    </row>
    <row r="60" spans="1:3" x14ac:dyDescent="0.3">
      <c r="A60" s="134"/>
      <c r="B60" s="23" t="s">
        <v>81</v>
      </c>
      <c r="C60" s="119">
        <v>124</v>
      </c>
    </row>
    <row r="61" spans="1:3" ht="15" thickBot="1" x14ac:dyDescent="0.35">
      <c r="A61" s="135"/>
      <c r="B61" s="24" t="s">
        <v>82</v>
      </c>
      <c r="C61" s="120"/>
    </row>
    <row r="62" spans="1:3" ht="15" customHeight="1" x14ac:dyDescent="0.3">
      <c r="A62" s="133" t="s">
        <v>84</v>
      </c>
      <c r="B62" s="111" t="s">
        <v>78</v>
      </c>
      <c r="C62" s="113">
        <f>C56+C13</f>
        <v>0.25</v>
      </c>
    </row>
    <row r="63" spans="1:3" x14ac:dyDescent="0.3">
      <c r="A63" s="134"/>
      <c r="B63" s="23" t="s">
        <v>28</v>
      </c>
      <c r="C63" s="114">
        <v>0</v>
      </c>
    </row>
    <row r="64" spans="1:3" x14ac:dyDescent="0.3">
      <c r="A64" s="134"/>
      <c r="B64" s="23" t="s">
        <v>79</v>
      </c>
      <c r="C64" s="118">
        <v>120</v>
      </c>
    </row>
    <row r="65" spans="1:3" x14ac:dyDescent="0.3">
      <c r="A65" s="134"/>
      <c r="B65" s="23" t="s">
        <v>80</v>
      </c>
      <c r="C65" s="118">
        <v>70</v>
      </c>
    </row>
    <row r="66" spans="1:3" x14ac:dyDescent="0.3">
      <c r="A66" s="134"/>
      <c r="B66" s="23" t="s">
        <v>81</v>
      </c>
      <c r="C66" s="119">
        <v>100</v>
      </c>
    </row>
    <row r="67" spans="1:3" ht="15" thickBot="1" x14ac:dyDescent="0.35">
      <c r="A67" s="135"/>
      <c r="B67" s="24" t="s">
        <v>82</v>
      </c>
      <c r="C67" s="120"/>
    </row>
  </sheetData>
  <sheetProtection selectLockedCells="1"/>
  <mergeCells count="9">
    <mergeCell ref="A56:A61"/>
    <mergeCell ref="A62:A67"/>
    <mergeCell ref="A14:A19"/>
    <mergeCell ref="A20:A25"/>
    <mergeCell ref="A26:A31"/>
    <mergeCell ref="A32:A37"/>
    <mergeCell ref="A38:A43"/>
    <mergeCell ref="A44:A49"/>
    <mergeCell ref="A50:A55"/>
  </mergeCells>
  <pageMargins left="0.7" right="0.7" top="0.78740157499999996" bottom="0.78740157499999996" header="0.3" footer="0.3"/>
  <pageSetup paperSize="9" orientation="portrait" horizontalDpi="360" verticalDpi="360" r:id="rId1"/>
  <rowBreaks count="1" manualBreakCount="1">
    <brk id="4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U222"/>
  <sheetViews>
    <sheetView view="pageLayout" topLeftCell="A25" zoomScaleNormal="100" workbookViewId="0">
      <selection activeCell="A92" sqref="A92:G145"/>
    </sheetView>
  </sheetViews>
  <sheetFormatPr baseColWidth="10" defaultColWidth="52.33203125" defaultRowHeight="14.4" x14ac:dyDescent="0.3"/>
  <cols>
    <col min="1" max="5" width="13.5546875" style="29" customWidth="1"/>
    <col min="6" max="6" width="0.21875" style="29" customWidth="1"/>
    <col min="7" max="7" width="13.5546875" style="29" customWidth="1"/>
    <col min="8" max="28" width="14.33203125" style="29" customWidth="1"/>
    <col min="29" max="29" width="11.5546875" style="29" customWidth="1"/>
    <col min="30" max="30" width="12.6640625" style="48" customWidth="1"/>
    <col min="31" max="34" width="12.6640625" style="60" customWidth="1"/>
    <col min="35" max="35" width="52.33203125" style="60"/>
    <col min="36" max="36" width="13.5546875" style="48" customWidth="1"/>
    <col min="37" max="37" width="5" style="48" customWidth="1"/>
    <col min="38" max="44" width="13.6640625" style="48" customWidth="1"/>
    <col min="45" max="46" width="15.6640625" style="48" customWidth="1"/>
    <col min="47" max="47" width="8" style="48" customWidth="1"/>
    <col min="48" max="48" width="52.33203125" style="48"/>
    <col min="49" max="49" width="12.6640625" style="48" bestFit="1" customWidth="1"/>
    <col min="50" max="52" width="52.33203125" style="48"/>
    <col min="53" max="54" width="12" style="48" bestFit="1" customWidth="1"/>
    <col min="55" max="58" width="52.33203125" style="48"/>
    <col min="59" max="59" width="12" style="48" bestFit="1" customWidth="1"/>
    <col min="60" max="60" width="12.6640625" style="48" bestFit="1" customWidth="1"/>
    <col min="61" max="63" width="11.5546875" style="48" bestFit="1" customWidth="1"/>
    <col min="64" max="70" width="52.33203125" style="48"/>
    <col min="71" max="73" width="52.33203125" style="60"/>
    <col min="74" max="16384" width="52.33203125" style="29"/>
  </cols>
  <sheetData>
    <row r="1" spans="1:67" ht="33.75" customHeight="1" x14ac:dyDescent="0.3">
      <c r="A1" s="136" t="s">
        <v>68</v>
      </c>
      <c r="B1" s="136"/>
    </row>
    <row r="2" spans="1:67" ht="13.5" customHeight="1" x14ac:dyDescent="0.3">
      <c r="AL2" s="48" t="s">
        <v>64</v>
      </c>
      <c r="AM2" s="48" t="s">
        <v>65</v>
      </c>
    </row>
    <row r="3" spans="1:67" x14ac:dyDescent="0.3">
      <c r="A3" s="30" t="s">
        <v>0</v>
      </c>
      <c r="B3" s="69" t="str">
        <f>IF(Start!C3="","",Start!C3)</f>
        <v>Name</v>
      </c>
      <c r="E3" s="29" t="s">
        <v>1</v>
      </c>
      <c r="G3" s="55">
        <f>IF(Start!C2="","",Start!C2)</f>
        <v>43539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D3" s="81"/>
      <c r="AG3" s="74"/>
      <c r="AH3" s="74"/>
      <c r="AJ3" s="82"/>
      <c r="AL3" s="48" t="s">
        <v>41</v>
      </c>
      <c r="AN3" s="71"/>
      <c r="AT3" s="56"/>
      <c r="AU3" s="48" t="s">
        <v>63</v>
      </c>
      <c r="BF3" s="48" t="s">
        <v>67</v>
      </c>
    </row>
    <row r="4" spans="1:67" ht="16.2" x14ac:dyDescent="0.3">
      <c r="A4" s="30" t="s">
        <v>2</v>
      </c>
      <c r="B4" s="69" t="str">
        <f>IF(Start!C4="","",Start!C4)</f>
        <v>Vorname</v>
      </c>
      <c r="E4" s="29" t="s">
        <v>3</v>
      </c>
      <c r="G4" s="67" t="str">
        <f>IF(Start!C10="","",Start!C10)</f>
        <v/>
      </c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D4" s="83"/>
      <c r="AG4" s="75"/>
      <c r="AH4" s="75"/>
      <c r="AJ4" s="82"/>
      <c r="AL4" s="48" t="s">
        <v>32</v>
      </c>
      <c r="AM4" s="48" t="s">
        <v>28</v>
      </c>
      <c r="AO4" s="48" t="s">
        <v>42</v>
      </c>
      <c r="AP4" s="48" t="s">
        <v>27</v>
      </c>
      <c r="AQ4" s="48" t="s">
        <v>34</v>
      </c>
      <c r="AR4" s="48" t="s">
        <v>35</v>
      </c>
      <c r="AS4" s="48" t="s">
        <v>69</v>
      </c>
      <c r="AT4" s="56"/>
      <c r="AV4" s="48" t="s">
        <v>15</v>
      </c>
      <c r="AW4" s="48" t="s">
        <v>28</v>
      </c>
      <c r="AX4" s="48" t="s">
        <v>36</v>
      </c>
      <c r="AY4" s="48" t="s">
        <v>42</v>
      </c>
      <c r="AZ4" s="48" t="s">
        <v>27</v>
      </c>
      <c r="BA4" s="48" t="s">
        <v>34</v>
      </c>
      <c r="BB4" s="48" t="s">
        <v>35</v>
      </c>
      <c r="BC4" s="48" t="s">
        <v>69</v>
      </c>
      <c r="BD4" s="48" t="s">
        <v>37</v>
      </c>
      <c r="BG4" s="48" t="s">
        <v>15</v>
      </c>
      <c r="BH4" s="48" t="s">
        <v>32</v>
      </c>
      <c r="BI4" s="48" t="s">
        <v>36</v>
      </c>
      <c r="BJ4" s="48" t="s">
        <v>42</v>
      </c>
      <c r="BK4" s="48" t="s">
        <v>27</v>
      </c>
      <c r="BL4" s="48" t="s">
        <v>34</v>
      </c>
      <c r="BM4" s="48" t="s">
        <v>35</v>
      </c>
      <c r="BN4" s="48" t="s">
        <v>66</v>
      </c>
      <c r="BO4" s="48" t="s">
        <v>37</v>
      </c>
    </row>
    <row r="5" spans="1:67" x14ac:dyDescent="0.3">
      <c r="A5" s="29" t="s">
        <v>5</v>
      </c>
      <c r="B5" s="31" t="str">
        <f>IF(Start!C5="","",Start!C5)</f>
        <v>w</v>
      </c>
      <c r="E5" s="32" t="s">
        <v>8</v>
      </c>
      <c r="G5" s="33">
        <f>IF(G3="","",IF(B6="","",(G3-B6)/365))</f>
        <v>55.906849315068492</v>
      </c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D5" s="84"/>
      <c r="AG5" s="76"/>
      <c r="AH5" s="76"/>
      <c r="AJ5" s="82">
        <f>AO5</f>
        <v>0</v>
      </c>
      <c r="AK5" s="48">
        <v>1</v>
      </c>
      <c r="AL5" s="85">
        <f>IF(A13="","",E13)</f>
        <v>76</v>
      </c>
      <c r="AM5" s="85">
        <f>IF(A13=0,0,A13)</f>
        <v>0</v>
      </c>
      <c r="AN5" s="48">
        <v>130</v>
      </c>
      <c r="AO5" s="85">
        <f t="shared" ref="AO5:AO11" si="0">IF(A13="",#N/A,A13)</f>
        <v>0</v>
      </c>
      <c r="AP5" s="48">
        <f>AO5</f>
        <v>0</v>
      </c>
      <c r="AQ5" s="48">
        <f>AP5*AP5</f>
        <v>0</v>
      </c>
      <c r="AR5" s="48">
        <f>AQ5*AO5</f>
        <v>0</v>
      </c>
      <c r="AS5" s="48">
        <f>AR5*AP5</f>
        <v>0</v>
      </c>
      <c r="AT5" s="56"/>
      <c r="AU5" s="48">
        <v>1</v>
      </c>
      <c r="AV5" s="48">
        <f>IF(G13="",#N/A,G13)</f>
        <v>1.4</v>
      </c>
      <c r="AW5" s="71">
        <f>IF(A13="",#N/A,A13)</f>
        <v>0</v>
      </c>
      <c r="AX5" s="104">
        <f>$G$22+0.2</f>
        <v>1.5999999999999999</v>
      </c>
      <c r="AY5" s="71">
        <f>AW5</f>
        <v>0</v>
      </c>
      <c r="AZ5" s="48">
        <f>AY5</f>
        <v>0</v>
      </c>
      <c r="BA5" s="48">
        <f>AZ5*AZ5</f>
        <v>0</v>
      </c>
      <c r="BB5" s="48">
        <f>BA5*AY5</f>
        <v>0</v>
      </c>
      <c r="BC5" s="48">
        <f>BB5*AZ5</f>
        <v>0</v>
      </c>
      <c r="BD5" s="104">
        <f>AX5+1.5</f>
        <v>3.0999999999999996</v>
      </c>
      <c r="BF5" s="48">
        <v>1</v>
      </c>
      <c r="BG5" s="48">
        <f>IF(A13="",#N/A,G13)</f>
        <v>1.4</v>
      </c>
      <c r="BH5" s="48">
        <f>IF(A13="",#N/A,E13)</f>
        <v>76</v>
      </c>
      <c r="BI5" s="48">
        <f>$G$22+0.2</f>
        <v>1.5999999999999999</v>
      </c>
      <c r="BJ5" s="48">
        <f>BH5</f>
        <v>76</v>
      </c>
      <c r="BK5" s="48">
        <f>BJ5</f>
        <v>76</v>
      </c>
      <c r="BL5" s="48">
        <f>BK5*BK5</f>
        <v>5776</v>
      </c>
      <c r="BM5" s="48">
        <f>BL5*BJ5</f>
        <v>438976</v>
      </c>
      <c r="BN5" s="48">
        <f>BM5*BK5</f>
        <v>33362176</v>
      </c>
      <c r="BO5" s="48">
        <f>BI5+1.5</f>
        <v>3.0999999999999996</v>
      </c>
    </row>
    <row r="6" spans="1:67" x14ac:dyDescent="0.3">
      <c r="A6" s="29" t="s">
        <v>47</v>
      </c>
      <c r="B6" s="34">
        <f>IF(Start!C6="","",Start!C6)</f>
        <v>23133</v>
      </c>
      <c r="E6" s="35" t="s">
        <v>9</v>
      </c>
      <c r="G6" s="36">
        <f>IF(G5="","",(220-G5)*0.9)</f>
        <v>147.68383561643836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D6" s="86"/>
      <c r="AG6" s="77"/>
      <c r="AH6" s="77"/>
      <c r="AJ6" s="82">
        <f t="shared" ref="AJ6:AJ11" si="1">AO6</f>
        <v>40</v>
      </c>
      <c r="AK6" s="48">
        <v>2</v>
      </c>
      <c r="AL6" s="85">
        <f t="shared" ref="AL6:AL11" si="2">IF(A14="",#N/A,E14)</f>
        <v>88</v>
      </c>
      <c r="AM6" s="85">
        <f>IF(A14="","",A14)</f>
        <v>40</v>
      </c>
      <c r="AN6" s="48">
        <v>130</v>
      </c>
      <c r="AO6" s="85">
        <f t="shared" si="0"/>
        <v>40</v>
      </c>
      <c r="AP6" s="48">
        <f t="shared" ref="AP6:AP11" si="3">AO6</f>
        <v>40</v>
      </c>
      <c r="AQ6" s="48">
        <f t="shared" ref="AQ6:AQ11" si="4">AP6*AP6</f>
        <v>1600</v>
      </c>
      <c r="AR6" s="48">
        <f t="shared" ref="AR6:AR11" si="5">AQ6*AO6</f>
        <v>64000</v>
      </c>
      <c r="AS6" s="48">
        <f t="shared" ref="AS6:AS11" si="6">AR6*AP6</f>
        <v>2560000</v>
      </c>
      <c r="AT6" s="56"/>
      <c r="AU6" s="48">
        <v>2</v>
      </c>
      <c r="AV6" s="48">
        <f t="shared" ref="AV6:AV11" si="7">IF(G14="",#N/A,G14)</f>
        <v>1.7</v>
      </c>
      <c r="AW6" s="71">
        <f t="shared" ref="AW6:AW11" si="8">IF(A14="",#N/A,A14)</f>
        <v>40</v>
      </c>
      <c r="AX6" s="104">
        <f t="shared" ref="AX6:AX11" si="9">$G$22+0.2</f>
        <v>1.5999999999999999</v>
      </c>
      <c r="AY6" s="71">
        <f t="shared" ref="AY6:AY11" si="10">AW6</f>
        <v>40</v>
      </c>
      <c r="AZ6" s="48">
        <f t="shared" ref="AZ6:AZ11" si="11">AY6</f>
        <v>40</v>
      </c>
      <c r="BA6" s="48">
        <f t="shared" ref="BA6:BA11" si="12">AZ6*AZ6</f>
        <v>1600</v>
      </c>
      <c r="BB6" s="48">
        <f t="shared" ref="BB6:BB11" si="13">BA6*AY6</f>
        <v>64000</v>
      </c>
      <c r="BC6" s="48">
        <f t="shared" ref="BC6:BC11" si="14">BB6*AZ6</f>
        <v>2560000</v>
      </c>
      <c r="BD6" s="104">
        <f t="shared" ref="BD6:BD11" si="15">AX6+1.5</f>
        <v>3.0999999999999996</v>
      </c>
      <c r="BF6" s="48">
        <v>2</v>
      </c>
      <c r="BG6" s="48">
        <f t="shared" ref="BG6:BG11" si="16">IF(A14="",#N/A,G14)</f>
        <v>1.7</v>
      </c>
      <c r="BH6" s="48">
        <f t="shared" ref="BH6:BH11" si="17">IF(A14="",#N/A,E14)</f>
        <v>88</v>
      </c>
      <c r="BI6" s="48">
        <f t="shared" ref="BI6:BI11" si="18">$G$22+0.2</f>
        <v>1.5999999999999999</v>
      </c>
      <c r="BJ6" s="48">
        <f t="shared" ref="BJ6:BJ11" si="19">BH6</f>
        <v>88</v>
      </c>
      <c r="BK6" s="48">
        <f t="shared" ref="BK6:BK11" si="20">BJ6</f>
        <v>88</v>
      </c>
      <c r="BL6" s="48">
        <f t="shared" ref="BL6:BL11" si="21">BK6*BK6</f>
        <v>7744</v>
      </c>
      <c r="BM6" s="48">
        <f t="shared" ref="BM6:BM11" si="22">BL6*BJ6</f>
        <v>681472</v>
      </c>
      <c r="BN6" s="48">
        <f t="shared" ref="BN6:BN11" si="23">BM6*BK6</f>
        <v>59969536</v>
      </c>
      <c r="BO6" s="48">
        <f t="shared" ref="BO6:BO11" si="24">BI6+1.5</f>
        <v>3.0999999999999996</v>
      </c>
    </row>
    <row r="7" spans="1:67" x14ac:dyDescent="0.3">
      <c r="A7" s="29" t="s">
        <v>43</v>
      </c>
      <c r="B7" s="31" t="str">
        <f>IF(Start!C7="","",Start!C7)</f>
        <v/>
      </c>
      <c r="E7" s="29" t="s">
        <v>50</v>
      </c>
      <c r="G7" s="37">
        <f>IF(Start!C11="","",Start!C11)</f>
        <v>0</v>
      </c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D7" s="87"/>
      <c r="AG7" s="78"/>
      <c r="AH7" s="78"/>
      <c r="AJ7" s="82">
        <f t="shared" si="1"/>
        <v>80</v>
      </c>
      <c r="AK7" s="48">
        <v>3</v>
      </c>
      <c r="AL7" s="85">
        <f t="shared" si="2"/>
        <v>110</v>
      </c>
      <c r="AM7" s="85">
        <f>IF(A15="",#N/A,A15)</f>
        <v>80</v>
      </c>
      <c r="AN7" s="48">
        <v>130</v>
      </c>
      <c r="AO7" s="85">
        <f t="shared" si="0"/>
        <v>80</v>
      </c>
      <c r="AP7" s="48">
        <f t="shared" si="3"/>
        <v>80</v>
      </c>
      <c r="AQ7" s="48">
        <f t="shared" si="4"/>
        <v>6400</v>
      </c>
      <c r="AR7" s="48">
        <f t="shared" si="5"/>
        <v>512000</v>
      </c>
      <c r="AS7" s="48">
        <f t="shared" si="6"/>
        <v>40960000</v>
      </c>
      <c r="AT7" s="56"/>
      <c r="AU7" s="48">
        <v>3</v>
      </c>
      <c r="AV7" s="48">
        <f t="shared" si="7"/>
        <v>2.7</v>
      </c>
      <c r="AW7" s="71">
        <f t="shared" si="8"/>
        <v>80</v>
      </c>
      <c r="AX7" s="104">
        <f t="shared" si="9"/>
        <v>1.5999999999999999</v>
      </c>
      <c r="AY7" s="71">
        <f t="shared" si="10"/>
        <v>80</v>
      </c>
      <c r="AZ7" s="48">
        <f t="shared" si="11"/>
        <v>80</v>
      </c>
      <c r="BA7" s="48">
        <f t="shared" si="12"/>
        <v>6400</v>
      </c>
      <c r="BB7" s="48">
        <f t="shared" si="13"/>
        <v>512000</v>
      </c>
      <c r="BC7" s="48">
        <f t="shared" si="14"/>
        <v>40960000</v>
      </c>
      <c r="BD7" s="104">
        <f t="shared" si="15"/>
        <v>3.0999999999999996</v>
      </c>
      <c r="BF7" s="48">
        <v>3</v>
      </c>
      <c r="BG7" s="48">
        <f t="shared" si="16"/>
        <v>2.7</v>
      </c>
      <c r="BH7" s="48">
        <f t="shared" si="17"/>
        <v>110</v>
      </c>
      <c r="BI7" s="48">
        <f t="shared" si="18"/>
        <v>1.5999999999999999</v>
      </c>
      <c r="BJ7" s="48">
        <f t="shared" si="19"/>
        <v>110</v>
      </c>
      <c r="BK7" s="48">
        <f t="shared" si="20"/>
        <v>110</v>
      </c>
      <c r="BL7" s="48">
        <f t="shared" si="21"/>
        <v>12100</v>
      </c>
      <c r="BM7" s="48">
        <f t="shared" si="22"/>
        <v>1331000</v>
      </c>
      <c r="BN7" s="48">
        <f t="shared" si="23"/>
        <v>146410000</v>
      </c>
      <c r="BO7" s="48">
        <f t="shared" si="24"/>
        <v>3.0999999999999996</v>
      </c>
    </row>
    <row r="8" spans="1:67" x14ac:dyDescent="0.3">
      <c r="A8" s="29" t="s">
        <v>6</v>
      </c>
      <c r="B8" s="38">
        <f>IF(Start!C8="","",Start!C8)</f>
        <v>157</v>
      </c>
      <c r="E8" s="29" t="s">
        <v>10</v>
      </c>
      <c r="G8" s="37">
        <f>IF(Start!C12="","",Start!C12)</f>
        <v>40</v>
      </c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D8" s="87"/>
      <c r="AG8" s="78"/>
      <c r="AH8" s="78"/>
      <c r="AJ8" s="82">
        <f t="shared" si="1"/>
        <v>120</v>
      </c>
      <c r="AK8" s="48">
        <v>4</v>
      </c>
      <c r="AL8" s="85">
        <f t="shared" si="2"/>
        <v>132</v>
      </c>
      <c r="AM8" s="85">
        <f>IF(A16="","",A16)</f>
        <v>120</v>
      </c>
      <c r="AN8" s="48">
        <v>130</v>
      </c>
      <c r="AO8" s="85">
        <f t="shared" si="0"/>
        <v>120</v>
      </c>
      <c r="AP8" s="48">
        <f t="shared" si="3"/>
        <v>120</v>
      </c>
      <c r="AQ8" s="48">
        <f t="shared" si="4"/>
        <v>14400</v>
      </c>
      <c r="AR8" s="48">
        <f t="shared" si="5"/>
        <v>1728000</v>
      </c>
      <c r="AS8" s="48">
        <f t="shared" si="6"/>
        <v>207360000</v>
      </c>
      <c r="AT8" s="56"/>
      <c r="AU8" s="48">
        <v>4</v>
      </c>
      <c r="AV8" s="48">
        <f t="shared" si="7"/>
        <v>4.2</v>
      </c>
      <c r="AW8" s="71">
        <f t="shared" si="8"/>
        <v>120</v>
      </c>
      <c r="AX8" s="104">
        <f t="shared" si="9"/>
        <v>1.5999999999999999</v>
      </c>
      <c r="AY8" s="71">
        <f t="shared" si="10"/>
        <v>120</v>
      </c>
      <c r="AZ8" s="48">
        <f t="shared" si="11"/>
        <v>120</v>
      </c>
      <c r="BA8" s="48">
        <f t="shared" si="12"/>
        <v>14400</v>
      </c>
      <c r="BB8" s="48">
        <f t="shared" si="13"/>
        <v>1728000</v>
      </c>
      <c r="BC8" s="48">
        <f t="shared" si="14"/>
        <v>207360000</v>
      </c>
      <c r="BD8" s="104">
        <f t="shared" si="15"/>
        <v>3.0999999999999996</v>
      </c>
      <c r="BF8" s="48">
        <v>4</v>
      </c>
      <c r="BG8" s="48">
        <f t="shared" si="16"/>
        <v>4.2</v>
      </c>
      <c r="BH8" s="48">
        <f t="shared" si="17"/>
        <v>132</v>
      </c>
      <c r="BI8" s="48">
        <f t="shared" si="18"/>
        <v>1.5999999999999999</v>
      </c>
      <c r="BJ8" s="48">
        <f t="shared" si="19"/>
        <v>132</v>
      </c>
      <c r="BK8" s="48">
        <f t="shared" si="20"/>
        <v>132</v>
      </c>
      <c r="BL8" s="48">
        <f t="shared" si="21"/>
        <v>17424</v>
      </c>
      <c r="BM8" s="48">
        <f t="shared" si="22"/>
        <v>2299968</v>
      </c>
      <c r="BN8" s="48">
        <f t="shared" si="23"/>
        <v>303595776</v>
      </c>
      <c r="BO8" s="48">
        <f t="shared" si="24"/>
        <v>3.0999999999999996</v>
      </c>
    </row>
    <row r="9" spans="1:67" x14ac:dyDescent="0.3">
      <c r="A9" s="29" t="s">
        <v>7</v>
      </c>
      <c r="B9" s="39">
        <f>IF(Start!C9="","",Start!C9)</f>
        <v>83</v>
      </c>
      <c r="AJ9" s="82" t="e">
        <f t="shared" si="1"/>
        <v>#N/A</v>
      </c>
      <c r="AK9" s="48">
        <v>5</v>
      </c>
      <c r="AL9" s="48" t="e">
        <f t="shared" si="2"/>
        <v>#N/A</v>
      </c>
      <c r="AM9" s="48" t="e">
        <f>IF(A17="",#N/A,A17)</f>
        <v>#N/A</v>
      </c>
      <c r="AN9" s="48" t="e">
        <f>IF(A17="",#N/A,130)</f>
        <v>#N/A</v>
      </c>
      <c r="AO9" s="85" t="e">
        <f t="shared" si="0"/>
        <v>#N/A</v>
      </c>
      <c r="AP9" s="82" t="e">
        <f t="shared" si="3"/>
        <v>#N/A</v>
      </c>
      <c r="AQ9" s="82" t="e">
        <f t="shared" si="4"/>
        <v>#N/A</v>
      </c>
      <c r="AR9" s="48" t="e">
        <f t="shared" si="5"/>
        <v>#N/A</v>
      </c>
      <c r="AS9" s="48" t="e">
        <f t="shared" si="6"/>
        <v>#N/A</v>
      </c>
      <c r="AT9" s="56"/>
      <c r="AU9" s="48">
        <v>5</v>
      </c>
      <c r="AV9" s="48" t="e">
        <f t="shared" si="7"/>
        <v>#N/A</v>
      </c>
      <c r="AW9" s="71" t="e">
        <f t="shared" si="8"/>
        <v>#N/A</v>
      </c>
      <c r="AX9" s="104">
        <f t="shared" si="9"/>
        <v>1.5999999999999999</v>
      </c>
      <c r="AY9" s="71" t="e">
        <f t="shared" si="10"/>
        <v>#N/A</v>
      </c>
      <c r="AZ9" s="48" t="e">
        <f t="shared" si="11"/>
        <v>#N/A</v>
      </c>
      <c r="BA9" s="48" t="e">
        <f t="shared" si="12"/>
        <v>#N/A</v>
      </c>
      <c r="BB9" s="48" t="e">
        <f t="shared" si="13"/>
        <v>#N/A</v>
      </c>
      <c r="BC9" s="48" t="e">
        <f t="shared" si="14"/>
        <v>#N/A</v>
      </c>
      <c r="BD9" s="104">
        <f t="shared" si="15"/>
        <v>3.0999999999999996</v>
      </c>
      <c r="BF9" s="48">
        <v>5</v>
      </c>
      <c r="BG9" s="48" t="e">
        <f t="shared" si="16"/>
        <v>#N/A</v>
      </c>
      <c r="BH9" s="48" t="e">
        <f t="shared" si="17"/>
        <v>#N/A</v>
      </c>
      <c r="BI9" s="48">
        <f t="shared" si="18"/>
        <v>1.5999999999999999</v>
      </c>
      <c r="BJ9" s="48" t="e">
        <f t="shared" si="19"/>
        <v>#N/A</v>
      </c>
      <c r="BK9" s="48" t="e">
        <f t="shared" si="20"/>
        <v>#N/A</v>
      </c>
      <c r="BL9" s="48" t="e">
        <f t="shared" si="21"/>
        <v>#N/A</v>
      </c>
      <c r="BM9" s="48" t="e">
        <f t="shared" si="22"/>
        <v>#N/A</v>
      </c>
      <c r="BN9" s="48" t="e">
        <f t="shared" si="23"/>
        <v>#N/A</v>
      </c>
      <c r="BO9" s="48">
        <f t="shared" si="24"/>
        <v>3.0999999999999996</v>
      </c>
    </row>
    <row r="10" spans="1:67" x14ac:dyDescent="0.3">
      <c r="AJ10" s="82" t="e">
        <f t="shared" si="1"/>
        <v>#N/A</v>
      </c>
      <c r="AK10" s="48">
        <v>6</v>
      </c>
      <c r="AL10" s="48" t="e">
        <f t="shared" si="2"/>
        <v>#N/A</v>
      </c>
      <c r="AM10" s="48" t="e">
        <f>IF(A18="",#N/A,A18)</f>
        <v>#N/A</v>
      </c>
      <c r="AN10" s="48" t="e">
        <f>IF(A18="",#N/A,130)</f>
        <v>#N/A</v>
      </c>
      <c r="AO10" s="85" t="e">
        <f t="shared" si="0"/>
        <v>#N/A</v>
      </c>
      <c r="AP10" s="82" t="e">
        <f t="shared" si="3"/>
        <v>#N/A</v>
      </c>
      <c r="AQ10" s="82" t="e">
        <f t="shared" si="4"/>
        <v>#N/A</v>
      </c>
      <c r="AR10" s="48" t="e">
        <f t="shared" si="5"/>
        <v>#N/A</v>
      </c>
      <c r="AS10" s="48" t="e">
        <f t="shared" si="6"/>
        <v>#N/A</v>
      </c>
      <c r="AU10" s="48">
        <v>6</v>
      </c>
      <c r="AV10" s="48" t="e">
        <f t="shared" si="7"/>
        <v>#N/A</v>
      </c>
      <c r="AW10" s="71" t="e">
        <f t="shared" si="8"/>
        <v>#N/A</v>
      </c>
      <c r="AX10" s="104">
        <f t="shared" si="9"/>
        <v>1.5999999999999999</v>
      </c>
      <c r="AY10" s="71" t="e">
        <f t="shared" si="10"/>
        <v>#N/A</v>
      </c>
      <c r="AZ10" s="48" t="e">
        <f t="shared" si="11"/>
        <v>#N/A</v>
      </c>
      <c r="BA10" s="48" t="e">
        <f t="shared" si="12"/>
        <v>#N/A</v>
      </c>
      <c r="BB10" s="48" t="e">
        <f t="shared" si="13"/>
        <v>#N/A</v>
      </c>
      <c r="BC10" s="48" t="e">
        <f t="shared" si="14"/>
        <v>#N/A</v>
      </c>
      <c r="BD10" s="104">
        <f t="shared" si="15"/>
        <v>3.0999999999999996</v>
      </c>
      <c r="BF10" s="48">
        <v>6</v>
      </c>
      <c r="BG10" s="48" t="e">
        <f t="shared" si="16"/>
        <v>#N/A</v>
      </c>
      <c r="BH10" s="48" t="e">
        <f t="shared" si="17"/>
        <v>#N/A</v>
      </c>
      <c r="BI10" s="48">
        <f t="shared" si="18"/>
        <v>1.5999999999999999</v>
      </c>
      <c r="BJ10" s="48" t="e">
        <f t="shared" si="19"/>
        <v>#N/A</v>
      </c>
      <c r="BK10" s="48" t="e">
        <f t="shared" si="20"/>
        <v>#N/A</v>
      </c>
      <c r="BL10" s="48" t="e">
        <f t="shared" si="21"/>
        <v>#N/A</v>
      </c>
      <c r="BM10" s="48" t="e">
        <f t="shared" si="22"/>
        <v>#N/A</v>
      </c>
      <c r="BN10" s="48" t="e">
        <f t="shared" si="23"/>
        <v>#N/A</v>
      </c>
      <c r="BO10" s="48">
        <f t="shared" si="24"/>
        <v>3.0999999999999996</v>
      </c>
    </row>
    <row r="11" spans="1:67" x14ac:dyDescent="0.3">
      <c r="AC11" s="48"/>
      <c r="AJ11" s="82" t="e">
        <f t="shared" si="1"/>
        <v>#N/A</v>
      </c>
      <c r="AK11" s="48">
        <v>7</v>
      </c>
      <c r="AL11" s="48" t="e">
        <f t="shared" si="2"/>
        <v>#N/A</v>
      </c>
      <c r="AM11" s="48" t="e">
        <f>IF(A19="",#N/A,A19)</f>
        <v>#N/A</v>
      </c>
      <c r="AN11" s="48" t="e">
        <f>IF(A19="",#N/A,130)</f>
        <v>#N/A</v>
      </c>
      <c r="AO11" s="85" t="e">
        <f t="shared" si="0"/>
        <v>#N/A</v>
      </c>
      <c r="AP11" s="82" t="e">
        <f t="shared" si="3"/>
        <v>#N/A</v>
      </c>
      <c r="AQ11" s="82" t="e">
        <f t="shared" si="4"/>
        <v>#N/A</v>
      </c>
      <c r="AR11" s="48" t="e">
        <f t="shared" si="5"/>
        <v>#N/A</v>
      </c>
      <c r="AS11" s="48" t="e">
        <f t="shared" si="6"/>
        <v>#N/A</v>
      </c>
      <c r="AU11" s="48">
        <v>7</v>
      </c>
      <c r="AV11" s="48" t="e">
        <f t="shared" si="7"/>
        <v>#N/A</v>
      </c>
      <c r="AW11" s="71" t="e">
        <f t="shared" si="8"/>
        <v>#N/A</v>
      </c>
      <c r="AX11" s="104">
        <f t="shared" si="9"/>
        <v>1.5999999999999999</v>
      </c>
      <c r="AY11" s="71" t="e">
        <f t="shared" si="10"/>
        <v>#N/A</v>
      </c>
      <c r="AZ11" s="48" t="e">
        <f t="shared" si="11"/>
        <v>#N/A</v>
      </c>
      <c r="BA11" s="48" t="e">
        <f t="shared" si="12"/>
        <v>#N/A</v>
      </c>
      <c r="BB11" s="48" t="e">
        <f t="shared" si="13"/>
        <v>#N/A</v>
      </c>
      <c r="BC11" s="48" t="e">
        <f t="shared" si="14"/>
        <v>#N/A</v>
      </c>
      <c r="BD11" s="104">
        <f t="shared" si="15"/>
        <v>3.0999999999999996</v>
      </c>
      <c r="BF11" s="48">
        <v>7</v>
      </c>
      <c r="BG11" s="48" t="e">
        <f t="shared" si="16"/>
        <v>#N/A</v>
      </c>
      <c r="BH11" s="48" t="e">
        <f t="shared" si="17"/>
        <v>#N/A</v>
      </c>
      <c r="BI11" s="48">
        <f t="shared" si="18"/>
        <v>1.5999999999999999</v>
      </c>
      <c r="BJ11" s="48" t="e">
        <f t="shared" si="19"/>
        <v>#N/A</v>
      </c>
      <c r="BK11" s="48" t="e">
        <f t="shared" si="20"/>
        <v>#N/A</v>
      </c>
      <c r="BL11" s="48" t="e">
        <f t="shared" si="21"/>
        <v>#N/A</v>
      </c>
      <c r="BM11" s="48" t="e">
        <f t="shared" si="22"/>
        <v>#N/A</v>
      </c>
      <c r="BN11" s="48" t="e">
        <f t="shared" si="23"/>
        <v>#N/A</v>
      </c>
      <c r="BO11" s="48">
        <f t="shared" si="24"/>
        <v>3.0999999999999996</v>
      </c>
    </row>
    <row r="12" spans="1:67" x14ac:dyDescent="0.3">
      <c r="A12" s="29" t="s">
        <v>60</v>
      </c>
      <c r="B12" s="40" t="s">
        <v>11</v>
      </c>
      <c r="C12" s="40" t="s">
        <v>12</v>
      </c>
      <c r="D12" s="40" t="s">
        <v>13</v>
      </c>
      <c r="E12" s="40" t="s">
        <v>14</v>
      </c>
      <c r="F12" s="40" t="s">
        <v>33</v>
      </c>
      <c r="G12" s="47" t="s">
        <v>15</v>
      </c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8"/>
      <c r="AP12" s="72"/>
    </row>
    <row r="13" spans="1:67" x14ac:dyDescent="0.3">
      <c r="A13" s="61">
        <f>G7</f>
        <v>0</v>
      </c>
      <c r="B13" s="42">
        <f>A96</f>
        <v>0.125</v>
      </c>
      <c r="C13" s="43">
        <f>C96</f>
        <v>120</v>
      </c>
      <c r="D13" s="43">
        <f>D96</f>
        <v>70</v>
      </c>
      <c r="E13" s="44">
        <f>B96</f>
        <v>76</v>
      </c>
      <c r="F13" s="45">
        <f t="shared" ref="F13:F18" si="25">IF(C13="",#N/A,C13-D13)</f>
        <v>50</v>
      </c>
      <c r="G13" s="16">
        <f t="shared" ref="G13:G15" si="26">IF(B13="Ruhe 3:00",$E$103,IF(B13="Ruhe 6:00",$E$104,IF(B13="",#N/A,E96)))</f>
        <v>1.4</v>
      </c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71">
        <f>A13+80</f>
        <v>80</v>
      </c>
      <c r="AK13" s="48">
        <v>3</v>
      </c>
      <c r="AL13" s="105"/>
      <c r="AM13" s="105"/>
      <c r="AN13" s="105">
        <f t="array" ref="AN13:AP13">LINEST(AL5:AL7,AP5:AQ7)</f>
        <v>3.1250000000000006E-3</v>
      </c>
      <c r="AO13" s="105">
        <v>0.17499999999999988</v>
      </c>
      <c r="AP13" s="105">
        <v>76</v>
      </c>
      <c r="AU13" s="48">
        <v>3</v>
      </c>
      <c r="AX13" s="48">
        <f t="array" ref="AX13:AZ13">LINEST(AV5:AV7,AZ5:BA7)</f>
        <v>2.1875000000000003E-4</v>
      </c>
      <c r="AY13" s="48">
        <v>-1.2500000000000024E-3</v>
      </c>
      <c r="AZ13" s="48">
        <v>1.4</v>
      </c>
      <c r="BF13" s="48">
        <v>3</v>
      </c>
      <c r="BI13" s="48">
        <f t="array" ref="BI13:BK13">LINEST(BG5:BG7,BK5:BL7)</f>
        <v>6.01604278074867E-4</v>
      </c>
      <c r="BJ13" s="48">
        <v>-7.3663101604278206E-2</v>
      </c>
      <c r="BK13" s="48">
        <v>3.5235294117647111</v>
      </c>
    </row>
    <row r="14" spans="1:67" x14ac:dyDescent="0.3">
      <c r="A14" s="61">
        <f t="shared" ref="A14:A21" si="27">IF(B14="","",IF(OR(B14="Ruhe 3:00",B14="Ruhe 6:00"),"",A13+$G$8))</f>
        <v>40</v>
      </c>
      <c r="B14" s="42">
        <f>A97</f>
        <v>0.25</v>
      </c>
      <c r="C14" s="43">
        <f>C97</f>
        <v>130</v>
      </c>
      <c r="D14" s="43">
        <f>D97</f>
        <v>75</v>
      </c>
      <c r="E14" s="44">
        <f>B97</f>
        <v>88</v>
      </c>
      <c r="F14" s="45">
        <f t="shared" si="25"/>
        <v>55</v>
      </c>
      <c r="G14" s="16">
        <f t="shared" si="26"/>
        <v>1.7</v>
      </c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71">
        <f t="shared" ref="AC14:AC21" si="28">A14+80</f>
        <v>120</v>
      </c>
      <c r="AK14" s="48">
        <v>4</v>
      </c>
      <c r="AL14" s="105"/>
      <c r="AM14" s="105">
        <f t="array" ref="AM14:AP14">LINEST(AL5:AL8,AP5:AR8)</f>
        <v>-2.6041666666666526E-5</v>
      </c>
      <c r="AN14" s="105">
        <v>6.2499999999999726E-3</v>
      </c>
      <c r="AO14" s="105">
        <v>9.1666666666667951E-2</v>
      </c>
      <c r="AP14" s="105">
        <v>76</v>
      </c>
      <c r="AS14" s="48">
        <v>130</v>
      </c>
      <c r="AU14" s="48">
        <v>4</v>
      </c>
      <c r="AW14" s="48">
        <f t="array" ref="AW14:AZ14">LINEST(AV5:AV8,AZ5:BB8)</f>
        <v>-5.208333333333323E-7</v>
      </c>
      <c r="AX14" s="48">
        <v>2.8124999999999982E-4</v>
      </c>
      <c r="AY14" s="48">
        <v>-2.9166666666666633E-3</v>
      </c>
      <c r="AZ14" s="48">
        <v>1.4000000000000001</v>
      </c>
      <c r="BC14" s="104">
        <f>IF(G22=0,"",AX5)</f>
        <v>1.5999999999999999</v>
      </c>
      <c r="BF14" s="48">
        <v>4</v>
      </c>
      <c r="BH14" s="48">
        <f t="array" ref="BH14:BK14">LINEST(BG5:BG8,BK5:BM8)</f>
        <v>-1.519202722411119E-6</v>
      </c>
      <c r="BI14" s="48">
        <v>1.0178658240155051E-3</v>
      </c>
      <c r="BJ14" s="48">
        <v>-0.11122994652405876</v>
      </c>
      <c r="BK14" s="48">
        <v>4.6411764705880518</v>
      </c>
      <c r="BN14" s="48">
        <f>IF(G22=0,"",BI5)</f>
        <v>1.5999999999999999</v>
      </c>
    </row>
    <row r="15" spans="1:67" x14ac:dyDescent="0.3">
      <c r="A15" s="61">
        <f t="shared" si="27"/>
        <v>80</v>
      </c>
      <c r="B15" s="42">
        <f>IF(B98&gt;0,A98,IF(B14="Ruhe 3:00","Ruhe 6:00",IF(B14="Ruhe 6:00","",IF(B14="","","Ruhe 3:00"))))</f>
        <v>0.375</v>
      </c>
      <c r="C15" s="43">
        <f t="shared" ref="C15:C18" si="29">IF(B15="Ruhe 3:00",$C$103,IF(B15="Ruhe 6:00",$C$104,IF(B15="",#N/A,C98)))</f>
        <v>145</v>
      </c>
      <c r="D15" s="43">
        <f t="shared" ref="D15:D21" si="30">IF(B15="Ruhe 3:00",$D$103,IF(B15="Ruhe 6:00",$D$104,IF(B15="","",D98)))</f>
        <v>70</v>
      </c>
      <c r="E15" s="44">
        <f t="shared" ref="E15" si="31">IF(B15="Ruhe 3:00",$B$103,IF(B15="Ruhe 6:00",$B$104,IF(B15="","",B98)))</f>
        <v>110</v>
      </c>
      <c r="F15" s="45">
        <f t="shared" si="25"/>
        <v>75</v>
      </c>
      <c r="G15" s="16">
        <f t="shared" si="26"/>
        <v>2.7</v>
      </c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71">
        <f t="shared" si="28"/>
        <v>160</v>
      </c>
      <c r="AK15" s="48">
        <v>5</v>
      </c>
      <c r="AL15" s="105" t="e">
        <f t="array" ref="AL15:AP15">LINEST(AL5:AL9,AP5:AS9)</f>
        <v>#VALUE!</v>
      </c>
      <c r="AM15" s="105" t="e">
        <v>#VALUE!</v>
      </c>
      <c r="AN15" s="105" t="e">
        <v>#VALUE!</v>
      </c>
      <c r="AO15" s="105" t="e">
        <v>#VALUE!</v>
      </c>
      <c r="AP15" s="105" t="e">
        <v>#VALUE!</v>
      </c>
      <c r="AU15" s="48">
        <v>5</v>
      </c>
      <c r="AV15" s="48" t="e">
        <f t="array" ref="AV15:AZ15">LINEST(AV5:AV9,AZ5:BC9)</f>
        <v>#VALUE!</v>
      </c>
      <c r="AW15" s="48" t="e">
        <v>#VALUE!</v>
      </c>
      <c r="AX15" s="48" t="e">
        <v>#VALUE!</v>
      </c>
      <c r="AY15" s="48" t="e">
        <v>#VALUE!</v>
      </c>
      <c r="AZ15" s="48" t="e">
        <v>#VALUE!</v>
      </c>
      <c r="BC15" s="104">
        <f>BC14+1.5</f>
        <v>3.0999999999999996</v>
      </c>
      <c r="BF15" s="48">
        <v>5</v>
      </c>
      <c r="BG15" s="48" t="e">
        <f t="array" ref="BG15:BK15">LINEST(BG5:BG9,BK5:BN9)</f>
        <v>#VALUE!</v>
      </c>
      <c r="BH15" s="48" t="e">
        <v>#VALUE!</v>
      </c>
      <c r="BI15" s="48" t="e">
        <v>#VALUE!</v>
      </c>
      <c r="BJ15" s="48" t="e">
        <v>#VALUE!</v>
      </c>
      <c r="BK15" s="48" t="e">
        <v>#VALUE!</v>
      </c>
      <c r="BN15" s="48">
        <f>BN14+1.5</f>
        <v>3.0999999999999996</v>
      </c>
    </row>
    <row r="16" spans="1:67" x14ac:dyDescent="0.3">
      <c r="A16" s="61">
        <f t="shared" si="27"/>
        <v>120</v>
      </c>
      <c r="B16" s="42">
        <f>IF(B99="",IF(B15="Ruhe 3:00","Ruhe 6:00",IF(B15="Ruhe 6:00","",IF(B15="","","Ruhe 3:00"))),A99)</f>
        <v>0.5</v>
      </c>
      <c r="C16" s="43">
        <f t="shared" si="29"/>
        <v>160</v>
      </c>
      <c r="D16" s="43">
        <f t="shared" si="30"/>
        <v>75</v>
      </c>
      <c r="E16" s="44">
        <f t="shared" ref="E16:E21" si="32">IF(B16="Ruhe 3:00",$B$103,IF(B16="Ruhe 6:00",$B$104,IF(B16="",#N/A,B99)))</f>
        <v>132</v>
      </c>
      <c r="F16" s="45">
        <f t="shared" si="25"/>
        <v>85</v>
      </c>
      <c r="G16" s="16">
        <f>IF(B16="Ruhe 3:00",$E$103,IF(B16="Ruhe 6:00",$E$104,IF(B16="","",E99)))</f>
        <v>4.2</v>
      </c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71">
        <f t="shared" si="28"/>
        <v>200</v>
      </c>
      <c r="AK16" s="48">
        <v>6</v>
      </c>
      <c r="AL16" s="105" t="e">
        <f t="array" ref="AL16:AP16">LINEST(AL5:AL10,AP5:AS10)</f>
        <v>#VALUE!</v>
      </c>
      <c r="AM16" s="105" t="e">
        <v>#VALUE!</v>
      </c>
      <c r="AN16" s="105" t="e">
        <v>#VALUE!</v>
      </c>
      <c r="AO16" s="105" t="e">
        <v>#VALUE!</v>
      </c>
      <c r="AP16" s="105" t="e">
        <v>#VALUE!</v>
      </c>
      <c r="AU16" s="48">
        <v>6</v>
      </c>
      <c r="AV16" s="48" t="e">
        <f t="array" ref="AV16:AZ16">LINEST(AV5:AV10,AZ5:BC10)</f>
        <v>#VALUE!</v>
      </c>
      <c r="AW16" s="48" t="e">
        <v>#VALUE!</v>
      </c>
      <c r="AX16" s="48" t="e">
        <v>#VALUE!</v>
      </c>
      <c r="AY16" s="48" t="e">
        <v>#VALUE!</v>
      </c>
      <c r="AZ16" s="48" t="e">
        <v>#VALUE!</v>
      </c>
      <c r="BF16" s="48">
        <v>6</v>
      </c>
      <c r="BG16" s="48" t="e">
        <f t="array" ref="BG16:BK16">LINEST(BG5:BG10,BK5:BN10)</f>
        <v>#VALUE!</v>
      </c>
      <c r="BH16" s="48" t="e">
        <v>#VALUE!</v>
      </c>
      <c r="BI16" s="48" t="e">
        <v>#VALUE!</v>
      </c>
      <c r="BJ16" s="48" t="e">
        <v>#VALUE!</v>
      </c>
      <c r="BK16" s="48" t="e">
        <v>#VALUE!</v>
      </c>
    </row>
    <row r="17" spans="1:66" x14ac:dyDescent="0.3">
      <c r="A17" s="61" t="str">
        <f t="shared" si="27"/>
        <v/>
      </c>
      <c r="B17" s="42" t="str">
        <f>IF(B100="",IF(B16="Ruhe 3:00","Ruhe 6:00",IF(B16="Ruhe 6:00","",IF(B16="","","Ruhe 3:00"))),A100)</f>
        <v>Ruhe 3:00</v>
      </c>
      <c r="C17" s="43">
        <f t="shared" si="29"/>
        <v>130</v>
      </c>
      <c r="D17" s="43">
        <f t="shared" si="30"/>
        <v>75</v>
      </c>
      <c r="E17" s="44">
        <f t="shared" si="32"/>
        <v>124</v>
      </c>
      <c r="F17" s="45">
        <f t="shared" si="25"/>
        <v>55</v>
      </c>
      <c r="G17" s="16" t="str">
        <f t="shared" ref="G17:G21" si="33">IF(B17="Ruhe 3:00",$E$103,IF(B17="Ruhe 6:00",$E$104,IF(B17="","",E100)))</f>
        <v/>
      </c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71" t="e">
        <f t="shared" si="28"/>
        <v>#VALUE!</v>
      </c>
      <c r="AK17" s="48">
        <v>7</v>
      </c>
      <c r="AL17" s="105" t="e">
        <f t="array" ref="AL17:AP17">LINEST(AL5:AL11,AP5:AS11)</f>
        <v>#VALUE!</v>
      </c>
      <c r="AM17" s="105" t="e">
        <v>#VALUE!</v>
      </c>
      <c r="AN17" s="105" t="e">
        <v>#VALUE!</v>
      </c>
      <c r="AO17" s="105" t="e">
        <v>#VALUE!</v>
      </c>
      <c r="AP17" s="105" t="e">
        <v>#VALUE!</v>
      </c>
      <c r="AS17" s="106">
        <f>VLOOKUP(AS14,AL21:AR114,2,2)</f>
        <v>114</v>
      </c>
      <c r="AU17" s="48">
        <v>7</v>
      </c>
      <c r="AV17" s="48" t="e">
        <f t="array" ref="AV17:AZ17">LINEST(AV5:AV11,AZ5:BC11)</f>
        <v>#VALUE!</v>
      </c>
      <c r="AW17" s="48" t="e">
        <v>#VALUE!</v>
      </c>
      <c r="AX17" s="48" t="e">
        <v>#VALUE!</v>
      </c>
      <c r="AY17" s="48" t="e">
        <v>#VALUE!</v>
      </c>
      <c r="AZ17" s="48" t="e">
        <v>#VALUE!</v>
      </c>
      <c r="BC17" s="48">
        <f>IF(BC14="","",VLOOKUP(BC14,AV21:BB114,2,2))</f>
        <v>32</v>
      </c>
      <c r="BF17" s="48">
        <v>7</v>
      </c>
      <c r="BG17" s="48" t="e">
        <f t="array" ref="BG17:BK17">LINEST(BG5:BG11,BK5:BN11)</f>
        <v>#VALUE!</v>
      </c>
      <c r="BH17" s="48" t="e">
        <v>#VALUE!</v>
      </c>
      <c r="BI17" s="48" t="e">
        <v>#VALUE!</v>
      </c>
      <c r="BJ17" s="48" t="e">
        <v>#VALUE!</v>
      </c>
      <c r="BK17" s="48" t="e">
        <v>#VALUE!</v>
      </c>
      <c r="BN17" s="48">
        <f>IF(BN14="","",VLOOKUP(BN14,BG21:BM114,2,2))</f>
        <v>84</v>
      </c>
    </row>
    <row r="18" spans="1:66" x14ac:dyDescent="0.3">
      <c r="A18" s="61" t="str">
        <f t="shared" si="27"/>
        <v/>
      </c>
      <c r="B18" s="42" t="str">
        <f>IF(B101="",IF(B17="Ruhe 3:00","Ruhe 6:00",IF(B17="Ruhe 6:00","",IF(B17="","","Ruhe 3:00"))),A101)</f>
        <v>Ruhe 6:00</v>
      </c>
      <c r="C18" s="43">
        <f t="shared" si="29"/>
        <v>120</v>
      </c>
      <c r="D18" s="43">
        <f t="shared" si="30"/>
        <v>70</v>
      </c>
      <c r="E18" s="44">
        <f t="shared" si="32"/>
        <v>100</v>
      </c>
      <c r="F18" s="45">
        <f t="shared" si="25"/>
        <v>50</v>
      </c>
      <c r="G18" s="16" t="str">
        <f t="shared" si="33"/>
        <v/>
      </c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71" t="e">
        <f t="shared" si="28"/>
        <v>#VALUE!</v>
      </c>
      <c r="AL18" s="105"/>
      <c r="AM18" s="105"/>
      <c r="AN18" s="105"/>
      <c r="BC18" s="48">
        <f>IF(BC14="","",VLOOKUP(BC15,AV21:BB114,2,2))</f>
        <v>90</v>
      </c>
      <c r="BN18" s="48">
        <f>IF(BN14="","",VLOOKUP(BN15,BG21:BM114,2,2))</f>
        <v>116</v>
      </c>
    </row>
    <row r="19" spans="1:66" x14ac:dyDescent="0.3">
      <c r="A19" s="61" t="str">
        <f t="shared" si="27"/>
        <v/>
      </c>
      <c r="B19" s="42" t="str">
        <f>IF(B102="",IF(B18="Ruhe 3:00","Ruhe 6:00",IF(B18="Ruhe 6:00","",IF(B18="","","Ruhe 3:00"))),A102)</f>
        <v/>
      </c>
      <c r="C19" s="43" t="e">
        <f>IF(B19="Ruhe 3:00",$C$103,IF(B19="Ruhe 6:00",$C$104,IF(B19="",#N/A,C102)))</f>
        <v>#N/A</v>
      </c>
      <c r="D19" s="43" t="str">
        <f t="shared" si="30"/>
        <v/>
      </c>
      <c r="E19" s="44" t="e">
        <f t="shared" si="32"/>
        <v>#N/A</v>
      </c>
      <c r="F19" s="45" t="e">
        <f>IF(C19="",#N/A,C19-D19)</f>
        <v>#N/A</v>
      </c>
      <c r="G19" s="16" t="str">
        <f t="shared" si="33"/>
        <v/>
      </c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71" t="e">
        <f t="shared" si="28"/>
        <v>#VALUE!</v>
      </c>
      <c r="AL19" s="48">
        <f>VLOOKUP($A$23,$AK$13:$AP$17,2)</f>
        <v>0</v>
      </c>
      <c r="AM19" s="48">
        <f>VLOOKUP($A$23,$AK$13:$AP$17,3)</f>
        <v>-2.6041666666666526E-5</v>
      </c>
      <c r="AN19" s="48">
        <f>VLOOKUP($A$23,$AK$13:$AP$17,4)</f>
        <v>6.2499999999999726E-3</v>
      </c>
      <c r="AO19" s="48">
        <f>VLOOKUP($A$23,$AK$13:$AP$17,5)</f>
        <v>9.1666666666667951E-2</v>
      </c>
      <c r="AP19" s="48">
        <f>VLOOKUP($A$23,$AK$13:$AP$17,6)</f>
        <v>76</v>
      </c>
      <c r="AV19" s="107">
        <f>VLOOKUP($A$23,$AU$13:$AZ$17,2)</f>
        <v>0</v>
      </c>
      <c r="AW19" s="107">
        <f>VLOOKUP($A$23,$AU$13:$AZ$17,3)</f>
        <v>-5.208333333333323E-7</v>
      </c>
      <c r="AX19" s="107">
        <f>VLOOKUP($A$23,$AU$13:$AZ$17,4)</f>
        <v>2.8124999999999982E-4</v>
      </c>
      <c r="AY19" s="107">
        <f>VLOOKUP($A$23,$AU$13:$AZ$17,5)</f>
        <v>-2.9166666666666633E-3</v>
      </c>
      <c r="AZ19" s="107">
        <f>VLOOKUP($A$23,$AU$13:$AZ$17,6)</f>
        <v>1.4000000000000001</v>
      </c>
      <c r="BG19" s="48">
        <f>VLOOKUP($A$23,$BF$13:$BK$17,2)</f>
        <v>0</v>
      </c>
      <c r="BH19" s="48">
        <f>VLOOKUP($A$23,$BF$13:$BK$17,3)</f>
        <v>-1.519202722411119E-6</v>
      </c>
      <c r="BI19" s="48">
        <f>VLOOKUP($A$23,$BF$13:$BK$17,4)</f>
        <v>1.0178658240155051E-3</v>
      </c>
      <c r="BJ19" s="48">
        <f>VLOOKUP($A$23,$BF$13:$BK$17,5)</f>
        <v>-0.11122994652405876</v>
      </c>
      <c r="BK19" s="48">
        <f>VLOOKUP($A$23,$BF$13:$BK$17,6)</f>
        <v>4.6411764705880518</v>
      </c>
    </row>
    <row r="20" spans="1:66" x14ac:dyDescent="0.3">
      <c r="A20" s="61" t="str">
        <f t="shared" si="27"/>
        <v/>
      </c>
      <c r="B20" s="42" t="str">
        <f>IF(B19="","",IF(B19="Ruhe 3:00","Ruhe 6:00",IF(B19="Ruhe 6:00","","Ruhe 3:00")))</f>
        <v/>
      </c>
      <c r="C20" s="43" t="e">
        <f t="shared" ref="C20:C21" si="34">IF(B20="Ruhe 3:00",$C$103,IF(B20="Ruhe 6:00",$C$104,IF(B20="",#N/A,C103)))</f>
        <v>#N/A</v>
      </c>
      <c r="D20" s="43" t="str">
        <f t="shared" si="30"/>
        <v/>
      </c>
      <c r="E20" s="44" t="e">
        <f t="shared" si="32"/>
        <v>#N/A</v>
      </c>
      <c r="F20" s="45" t="e">
        <f t="shared" ref="F20:F21" si="35">IF(C20="",#N/A,C20-D20)</f>
        <v>#N/A</v>
      </c>
      <c r="G20" s="16" t="str">
        <f t="shared" si="33"/>
        <v/>
      </c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71" t="e">
        <f t="shared" si="28"/>
        <v>#VALUE!</v>
      </c>
    </row>
    <row r="21" spans="1:66" x14ac:dyDescent="0.3">
      <c r="A21" s="71" t="str">
        <f t="shared" si="27"/>
        <v/>
      </c>
      <c r="B21" s="42" t="str">
        <f>IF(B20="","",IF(B20="Ruhe 3:00","Ruhe 6:00",IF(B20="Ruhe 6:00","","Ruhe 3:00")))</f>
        <v/>
      </c>
      <c r="C21" s="43" t="e">
        <f t="shared" si="34"/>
        <v>#N/A</v>
      </c>
      <c r="D21" s="43" t="str">
        <f t="shared" si="30"/>
        <v/>
      </c>
      <c r="E21" s="44" t="e">
        <f t="shared" si="32"/>
        <v>#N/A</v>
      </c>
      <c r="F21" s="45" t="e">
        <f t="shared" si="35"/>
        <v>#N/A</v>
      </c>
      <c r="G21" s="16" t="str">
        <f t="shared" si="33"/>
        <v/>
      </c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71" t="e">
        <f t="shared" si="28"/>
        <v>#VALUE!</v>
      </c>
      <c r="AL21" s="108">
        <f>AN21+AO21+AP21+AQ21+AR21</f>
        <v>88.000000000000014</v>
      </c>
      <c r="AM21" s="71">
        <f>A14</f>
        <v>40</v>
      </c>
      <c r="AN21" s="48">
        <f>AM21*AM21*AM21*AM21*$AL$19</f>
        <v>0</v>
      </c>
      <c r="AO21" s="48">
        <f>AM21*AM21*AM21*$AM$19</f>
        <v>-1.6666666666666576</v>
      </c>
      <c r="AP21" s="48">
        <f>AM21*AM21*$AN$19</f>
        <v>9.9999999999999556</v>
      </c>
      <c r="AQ21" s="48">
        <f>AM21*$AO$19</f>
        <v>3.666666666666718</v>
      </c>
      <c r="AR21" s="48">
        <f>$AP$19</f>
        <v>76</v>
      </c>
      <c r="AV21" s="108">
        <f>AX21+AY21+AZ21+BA21+BB21-0.01</f>
        <v>1.3900000000000001</v>
      </c>
      <c r="AW21" s="71">
        <f>IF(G13+0.2&lt;G14,A13,A14)</f>
        <v>0</v>
      </c>
      <c r="AX21" s="48">
        <f>AW21*AW21*AW21*AW21*$AV$19</f>
        <v>0</v>
      </c>
      <c r="AY21" s="48">
        <f>AW21*AW21*AW21*$AW$19</f>
        <v>0</v>
      </c>
      <c r="AZ21" s="48">
        <f>AW21*AW21*$AX$19</f>
        <v>0</v>
      </c>
      <c r="BA21" s="48">
        <f>AW21*$AY$19</f>
        <v>0</v>
      </c>
      <c r="BB21" s="48">
        <f>$AZ$19</f>
        <v>1.4000000000000001</v>
      </c>
      <c r="BG21" s="48">
        <f>BI21+BJ21+BK21+BL21+BM21-0.1</f>
        <v>1.2999999999999994</v>
      </c>
      <c r="BH21" s="48">
        <f>IF(G13+0.2&lt;G14,E13,E14)</f>
        <v>76</v>
      </c>
      <c r="BI21" s="48">
        <f>BH21*BH21*BH21*BH21*$BG$19</f>
        <v>0</v>
      </c>
      <c r="BJ21" s="48">
        <f>BH21*BH21*BH21*$BH$19</f>
        <v>-0.66689353427314335</v>
      </c>
      <c r="BK21" s="48">
        <f>BH21*BH21*$BI$19</f>
        <v>5.879192999513557</v>
      </c>
      <c r="BL21" s="48">
        <f>BH21*$BJ$19</f>
        <v>-8.4534759358284663</v>
      </c>
      <c r="BM21" s="48">
        <f>$BK$19</f>
        <v>4.6411764705880518</v>
      </c>
    </row>
    <row r="22" spans="1:66" x14ac:dyDescent="0.3">
      <c r="A22" s="48"/>
      <c r="B22" s="48"/>
      <c r="C22" s="48"/>
      <c r="D22" s="49" t="s">
        <v>16</v>
      </c>
      <c r="E22" s="48"/>
      <c r="F22" s="48"/>
      <c r="G22" s="28">
        <f>MIN(G13:G19)</f>
        <v>1.4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48"/>
      <c r="AL22" s="108">
        <f t="shared" ref="AL22:AL113" si="36">AN22+AO22+AP22+AQ22+AR22</f>
        <v>88.945625000000021</v>
      </c>
      <c r="AM22" s="71">
        <f>AM21+2</f>
        <v>42</v>
      </c>
      <c r="AN22" s="48">
        <f t="shared" ref="AN22:AN113" si="37">AM22*AM22*AM22*AM22*$AL$19</f>
        <v>0</v>
      </c>
      <c r="AO22" s="48">
        <f t="shared" ref="AO22:AO113" si="38">AM22*AM22*AM22*$AM$19</f>
        <v>-1.9293749999999896</v>
      </c>
      <c r="AP22" s="48">
        <f t="shared" ref="AP22:AP113" si="39">AM22*AM22*$AN$19</f>
        <v>11.024999999999952</v>
      </c>
      <c r="AQ22" s="48">
        <f t="shared" ref="AQ22:AQ113" si="40">AM22*$AO$19</f>
        <v>3.8500000000000538</v>
      </c>
      <c r="AR22" s="48">
        <f t="shared" ref="AR22:AR113" si="41">$AP$19</f>
        <v>76</v>
      </c>
      <c r="AV22" s="108">
        <f>AX22+AY22+AZ22+BA22+BB22</f>
        <v>1.3952875000000002</v>
      </c>
      <c r="AW22" s="71">
        <f>AW21+2</f>
        <v>2</v>
      </c>
      <c r="AX22" s="48">
        <f>AW22*AW22*AW22*AW22*$AV$19</f>
        <v>0</v>
      </c>
      <c r="AY22" s="48">
        <f>AW22*AW22*AW22*$AW$19</f>
        <v>-4.1666666666666584E-6</v>
      </c>
      <c r="AZ22" s="48">
        <f>AW22*AW22*$AX$19</f>
        <v>1.1249999999999993E-3</v>
      </c>
      <c r="BA22" s="48">
        <f>AW22*$AY$19</f>
        <v>-5.8333333333333267E-3</v>
      </c>
      <c r="BB22" s="48">
        <f>$AZ$19</f>
        <v>1.4000000000000001</v>
      </c>
      <c r="BG22" s="48">
        <f>BI22+BJ22+BK22+BL22+BM22</f>
        <v>1.4178308823529413</v>
      </c>
      <c r="BH22" s="48">
        <f>BH21+1</f>
        <v>77</v>
      </c>
      <c r="BI22" s="48">
        <f t="shared" ref="BI22:BI113" si="42">BH22*BH22*BH22*BH22*$BG$19</f>
        <v>0</v>
      </c>
      <c r="BJ22" s="48">
        <f t="shared" ref="BJ22:BJ113" si="43">BH22*BH22*BH22*$BH$19</f>
        <v>-0.69356617647051544</v>
      </c>
      <c r="BK22" s="48">
        <f t="shared" ref="BK22:BK113" si="44">BH22*BH22*$BI$19</f>
        <v>6.03492647058793</v>
      </c>
      <c r="BL22" s="48">
        <f t="shared" ref="BL22:BL113" si="45">BH22*$BJ$19</f>
        <v>-8.5647058823525253</v>
      </c>
      <c r="BM22" s="48">
        <f t="shared" ref="BM22:BM113" si="46">$BK$19</f>
        <v>4.6411764705880518</v>
      </c>
    </row>
    <row r="23" spans="1:66" x14ac:dyDescent="0.3">
      <c r="A23" s="48">
        <f>COUNT(A13:A19)</f>
        <v>4</v>
      </c>
      <c r="B23" s="48"/>
      <c r="C23" s="50"/>
      <c r="D23" s="48"/>
      <c r="E23" s="60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L23" s="108">
        <f t="shared" si="36"/>
        <v>89.91500000000002</v>
      </c>
      <c r="AM23" s="71">
        <f t="shared" ref="AM23:AM114" si="47">AM22+2</f>
        <v>44</v>
      </c>
      <c r="AN23" s="48">
        <f t="shared" si="37"/>
        <v>0</v>
      </c>
      <c r="AO23" s="48">
        <f t="shared" si="38"/>
        <v>-2.2183333333333213</v>
      </c>
      <c r="AP23" s="48">
        <f t="shared" si="39"/>
        <v>12.099999999999946</v>
      </c>
      <c r="AQ23" s="48">
        <f t="shared" si="40"/>
        <v>4.0333333333333901</v>
      </c>
      <c r="AR23" s="48">
        <f t="shared" si="41"/>
        <v>76</v>
      </c>
      <c r="AV23" s="108">
        <f t="shared" ref="AV23:AV36" si="48">AX23+AY23+AZ23+BA23+BB23</f>
        <v>1.3928</v>
      </c>
      <c r="AW23" s="71">
        <f t="shared" ref="AW23:AW36" si="49">AW22+2</f>
        <v>4</v>
      </c>
      <c r="AX23" s="48">
        <f t="shared" ref="AX23:AX114" si="50">AW23*AW23*AW23*AW23*$AV$19</f>
        <v>0</v>
      </c>
      <c r="AY23" s="48">
        <f t="shared" ref="AY23:AY36" si="51">AW23*AW23*AW23*$AW$19</f>
        <v>-3.3333333333333267E-5</v>
      </c>
      <c r="AZ23" s="48">
        <f t="shared" ref="AZ23:AZ36" si="52">AW23*AW23*$AX$19</f>
        <v>4.4999999999999971E-3</v>
      </c>
      <c r="BA23" s="48">
        <f t="shared" ref="BA23:BA36" si="53">AW23*$AY$19</f>
        <v>-1.1666666666666653E-2</v>
      </c>
      <c r="BB23" s="48">
        <f t="shared" ref="BB23:BB114" si="54">$AZ$19</f>
        <v>1.4000000000000001</v>
      </c>
      <c r="BG23" s="48">
        <f t="shared" ref="BG23:BG85" si="55">BI23+BJ23+BK23+BL23+BM23</f>
        <v>1.4369956246961593</v>
      </c>
      <c r="BH23" s="48">
        <f t="shared" ref="BH23:BH114" si="56">BH22+1</f>
        <v>78</v>
      </c>
      <c r="BI23" s="48">
        <f t="shared" si="42"/>
        <v>0</v>
      </c>
      <c r="BJ23" s="48">
        <f t="shared" si="43"/>
        <v>-0.72094069032564134</v>
      </c>
      <c r="BK23" s="48">
        <f t="shared" si="44"/>
        <v>6.1926956733103333</v>
      </c>
      <c r="BL23" s="48">
        <f t="shared" si="45"/>
        <v>-8.6759358288765842</v>
      </c>
      <c r="BM23" s="48">
        <f t="shared" si="46"/>
        <v>4.6411764705880518</v>
      </c>
    </row>
    <row r="24" spans="1:66" x14ac:dyDescent="0.3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L24" s="108">
        <f t="shared" si="36"/>
        <v>90.906875000000014</v>
      </c>
      <c r="AM24" s="71">
        <f t="shared" si="47"/>
        <v>46</v>
      </c>
      <c r="AN24" s="48">
        <f t="shared" si="37"/>
        <v>0</v>
      </c>
      <c r="AO24" s="48">
        <f t="shared" si="38"/>
        <v>-2.5347916666666528</v>
      </c>
      <c r="AP24" s="48">
        <f t="shared" si="39"/>
        <v>13.224999999999943</v>
      </c>
      <c r="AQ24" s="48">
        <f t="shared" si="40"/>
        <v>4.2166666666667254</v>
      </c>
      <c r="AR24" s="48">
        <f t="shared" si="41"/>
        <v>76</v>
      </c>
      <c r="AV24" s="108">
        <f t="shared" si="48"/>
        <v>1.3925125</v>
      </c>
      <c r="AW24" s="71">
        <f t="shared" si="49"/>
        <v>6</v>
      </c>
      <c r="AX24" s="48">
        <f t="shared" si="50"/>
        <v>0</v>
      </c>
      <c r="AY24" s="48">
        <f t="shared" si="51"/>
        <v>-1.1249999999999978E-4</v>
      </c>
      <c r="AZ24" s="48">
        <f t="shared" si="52"/>
        <v>1.0124999999999993E-2</v>
      </c>
      <c r="BA24" s="48">
        <f t="shared" si="53"/>
        <v>-1.7499999999999981E-2</v>
      </c>
      <c r="BB24" s="48">
        <f t="shared" si="54"/>
        <v>1.4000000000000001</v>
      </c>
      <c r="BG24" s="48">
        <f t="shared" si="55"/>
        <v>1.4574851118133196</v>
      </c>
      <c r="BH24" s="48">
        <f t="shared" si="56"/>
        <v>79</v>
      </c>
      <c r="BI24" s="48">
        <f t="shared" si="42"/>
        <v>0</v>
      </c>
      <c r="BJ24" s="48">
        <f t="shared" si="43"/>
        <v>-0.74902619105485568</v>
      </c>
      <c r="BK24" s="48">
        <f t="shared" si="44"/>
        <v>6.3525006076807671</v>
      </c>
      <c r="BL24" s="48">
        <f t="shared" si="45"/>
        <v>-8.7871657754006431</v>
      </c>
      <c r="BM24" s="48">
        <f t="shared" si="46"/>
        <v>4.6411764705880518</v>
      </c>
    </row>
    <row r="25" spans="1:66" x14ac:dyDescent="0.3">
      <c r="C25" s="46"/>
      <c r="AJ25" s="88"/>
      <c r="AL25" s="108">
        <f t="shared" si="36"/>
        <v>91.920000000000016</v>
      </c>
      <c r="AM25" s="71">
        <f t="shared" si="47"/>
        <v>48</v>
      </c>
      <c r="AN25" s="48">
        <f t="shared" si="37"/>
        <v>0</v>
      </c>
      <c r="AO25" s="48">
        <f t="shared" si="38"/>
        <v>-2.8799999999999844</v>
      </c>
      <c r="AP25" s="48">
        <f t="shared" si="39"/>
        <v>14.399999999999936</v>
      </c>
      <c r="AQ25" s="48">
        <f t="shared" si="40"/>
        <v>4.4000000000000616</v>
      </c>
      <c r="AR25" s="48">
        <f t="shared" si="41"/>
        <v>76</v>
      </c>
      <c r="AV25" s="108">
        <f t="shared" si="48"/>
        <v>1.3944000000000001</v>
      </c>
      <c r="AW25" s="71">
        <f t="shared" si="49"/>
        <v>8</v>
      </c>
      <c r="AX25" s="48">
        <f t="shared" si="50"/>
        <v>0</v>
      </c>
      <c r="AY25" s="48">
        <f t="shared" si="51"/>
        <v>-2.6666666666666614E-4</v>
      </c>
      <c r="AZ25" s="48">
        <f t="shared" si="52"/>
        <v>1.7999999999999988E-2</v>
      </c>
      <c r="BA25" s="48">
        <f t="shared" si="53"/>
        <v>-2.3333333333333307E-2</v>
      </c>
      <c r="BB25" s="48">
        <f t="shared" si="54"/>
        <v>1.4000000000000001</v>
      </c>
      <c r="BG25" s="48">
        <f t="shared" si="55"/>
        <v>1.4792902284880913</v>
      </c>
      <c r="BH25" s="48">
        <f t="shared" si="56"/>
        <v>80</v>
      </c>
      <c r="BI25" s="48">
        <f t="shared" si="42"/>
        <v>0</v>
      </c>
      <c r="BJ25" s="48">
        <f t="shared" si="43"/>
        <v>-0.77783179387449297</v>
      </c>
      <c r="BK25" s="48">
        <f t="shared" si="44"/>
        <v>6.514341273699233</v>
      </c>
      <c r="BL25" s="48">
        <f t="shared" si="45"/>
        <v>-8.8983957219247003</v>
      </c>
      <c r="BM25" s="48">
        <f t="shared" si="46"/>
        <v>4.6411764705880518</v>
      </c>
    </row>
    <row r="26" spans="1:66" x14ac:dyDescent="0.3">
      <c r="AJ26" s="88"/>
      <c r="AL26" s="108">
        <f t="shared" si="36"/>
        <v>92.953125000000014</v>
      </c>
      <c r="AM26" s="71">
        <f t="shared" si="47"/>
        <v>50</v>
      </c>
      <c r="AN26" s="48">
        <f t="shared" si="37"/>
        <v>0</v>
      </c>
      <c r="AO26" s="48">
        <f t="shared" si="38"/>
        <v>-3.2552083333333157</v>
      </c>
      <c r="AP26" s="48">
        <f t="shared" si="39"/>
        <v>15.624999999999931</v>
      </c>
      <c r="AQ26" s="48">
        <f t="shared" si="40"/>
        <v>4.5833333333333979</v>
      </c>
      <c r="AR26" s="48">
        <f t="shared" si="41"/>
        <v>76</v>
      </c>
      <c r="AV26" s="108">
        <f t="shared" si="48"/>
        <v>1.3984375000000002</v>
      </c>
      <c r="AW26" s="71">
        <f t="shared" si="49"/>
        <v>10</v>
      </c>
      <c r="AX26" s="48">
        <f t="shared" si="50"/>
        <v>0</v>
      </c>
      <c r="AY26" s="48">
        <f t="shared" si="51"/>
        <v>-5.2083333333333235E-4</v>
      </c>
      <c r="AZ26" s="48">
        <f t="shared" si="52"/>
        <v>2.8124999999999983E-2</v>
      </c>
      <c r="BA26" s="48">
        <f t="shared" si="53"/>
        <v>-2.9166666666666632E-2</v>
      </c>
      <c r="BB26" s="48">
        <f t="shared" si="54"/>
        <v>1.4000000000000001</v>
      </c>
      <c r="BG26" s="48">
        <f t="shared" si="55"/>
        <v>1.5024018595041344</v>
      </c>
      <c r="BH26" s="48">
        <f t="shared" si="56"/>
        <v>81</v>
      </c>
      <c r="BI26" s="48">
        <f t="shared" si="42"/>
        <v>0</v>
      </c>
      <c r="BJ26" s="48">
        <f t="shared" si="43"/>
        <v>-0.80736661400088749</v>
      </c>
      <c r="BK26" s="48">
        <f t="shared" si="44"/>
        <v>6.6782176713657293</v>
      </c>
      <c r="BL26" s="48">
        <f t="shared" si="45"/>
        <v>-9.0096256684487592</v>
      </c>
      <c r="BM26" s="48">
        <f t="shared" si="46"/>
        <v>4.6411764705880518</v>
      </c>
    </row>
    <row r="27" spans="1:66" x14ac:dyDescent="0.3">
      <c r="AL27" s="108">
        <f t="shared" si="36"/>
        <v>94.00500000000001</v>
      </c>
      <c r="AM27" s="71">
        <f t="shared" si="47"/>
        <v>52</v>
      </c>
      <c r="AN27" s="48">
        <f t="shared" si="37"/>
        <v>0</v>
      </c>
      <c r="AO27" s="48">
        <f t="shared" si="38"/>
        <v>-3.6616666666666471</v>
      </c>
      <c r="AP27" s="48">
        <f t="shared" si="39"/>
        <v>16.899999999999928</v>
      </c>
      <c r="AQ27" s="48">
        <f t="shared" si="40"/>
        <v>4.7666666666667332</v>
      </c>
      <c r="AR27" s="48">
        <f t="shared" si="41"/>
        <v>76</v>
      </c>
      <c r="AV27" s="108">
        <f t="shared" si="48"/>
        <v>1.4046000000000001</v>
      </c>
      <c r="AW27" s="71">
        <f t="shared" si="49"/>
        <v>12</v>
      </c>
      <c r="AX27" s="48">
        <f t="shared" si="50"/>
        <v>0</v>
      </c>
      <c r="AY27" s="48">
        <f t="shared" si="51"/>
        <v>-8.9999999999999824E-4</v>
      </c>
      <c r="AZ27" s="48">
        <f t="shared" si="52"/>
        <v>4.0499999999999974E-2</v>
      </c>
      <c r="BA27" s="48">
        <f t="shared" si="53"/>
        <v>-3.4999999999999962E-2</v>
      </c>
      <c r="BB27" s="48">
        <f t="shared" si="54"/>
        <v>1.4000000000000001</v>
      </c>
      <c r="BG27" s="48">
        <f t="shared" si="55"/>
        <v>1.526810889645116</v>
      </c>
      <c r="BH27" s="48">
        <f t="shared" si="56"/>
        <v>82</v>
      </c>
      <c r="BI27" s="48">
        <f t="shared" si="42"/>
        <v>0</v>
      </c>
      <c r="BJ27" s="48">
        <f t="shared" si="43"/>
        <v>-0.83763976665037387</v>
      </c>
      <c r="BK27" s="48">
        <f t="shared" si="44"/>
        <v>6.844129800680256</v>
      </c>
      <c r="BL27" s="48">
        <f t="shared" si="45"/>
        <v>-9.1208556149728182</v>
      </c>
      <c r="BM27" s="48">
        <f t="shared" si="46"/>
        <v>4.6411764705880518</v>
      </c>
    </row>
    <row r="28" spans="1:66" x14ac:dyDescent="0.3">
      <c r="AL28" s="108">
        <f t="shared" si="36"/>
        <v>95.074375000000003</v>
      </c>
      <c r="AM28" s="71">
        <f t="shared" si="47"/>
        <v>54</v>
      </c>
      <c r="AN28" s="48">
        <f t="shared" si="37"/>
        <v>0</v>
      </c>
      <c r="AO28" s="48">
        <f t="shared" si="38"/>
        <v>-4.1006249999999778</v>
      </c>
      <c r="AP28" s="48">
        <f t="shared" si="39"/>
        <v>18.22499999999992</v>
      </c>
      <c r="AQ28" s="48">
        <f t="shared" si="40"/>
        <v>4.9500000000000695</v>
      </c>
      <c r="AR28" s="48">
        <f t="shared" si="41"/>
        <v>76</v>
      </c>
      <c r="AV28" s="108">
        <f t="shared" si="48"/>
        <v>1.4128625000000001</v>
      </c>
      <c r="AW28" s="71">
        <f t="shared" si="49"/>
        <v>14</v>
      </c>
      <c r="AX28" s="48">
        <f t="shared" si="50"/>
        <v>0</v>
      </c>
      <c r="AY28" s="48">
        <f t="shared" si="51"/>
        <v>-1.4291666666666639E-3</v>
      </c>
      <c r="AZ28" s="48">
        <f t="shared" si="52"/>
        <v>5.5124999999999966E-2</v>
      </c>
      <c r="BA28" s="48">
        <f t="shared" si="53"/>
        <v>-4.0833333333333284E-2</v>
      </c>
      <c r="BB28" s="48">
        <f t="shared" si="54"/>
        <v>1.4000000000000001</v>
      </c>
      <c r="BG28" s="48">
        <f t="shared" si="55"/>
        <v>1.5525082036947033</v>
      </c>
      <c r="BH28" s="48">
        <f t="shared" si="56"/>
        <v>83</v>
      </c>
      <c r="BI28" s="48">
        <f t="shared" si="42"/>
        <v>0</v>
      </c>
      <c r="BJ28" s="48">
        <f t="shared" si="43"/>
        <v>-0.86866036703928651</v>
      </c>
      <c r="BK28" s="48">
        <f t="shared" si="44"/>
        <v>7.0120776616428149</v>
      </c>
      <c r="BL28" s="48">
        <f t="shared" si="45"/>
        <v>-9.2320855614968771</v>
      </c>
      <c r="BM28" s="48">
        <f t="shared" si="46"/>
        <v>4.6411764705880518</v>
      </c>
    </row>
    <row r="29" spans="1:66" x14ac:dyDescent="0.3">
      <c r="AL29" s="108">
        <f t="shared" si="36"/>
        <v>96.160000000000011</v>
      </c>
      <c r="AM29" s="71">
        <f t="shared" si="47"/>
        <v>56</v>
      </c>
      <c r="AN29" s="48">
        <f t="shared" si="37"/>
        <v>0</v>
      </c>
      <c r="AO29" s="48">
        <f t="shared" si="38"/>
        <v>-4.5733333333333084</v>
      </c>
      <c r="AP29" s="48">
        <f t="shared" si="39"/>
        <v>19.599999999999913</v>
      </c>
      <c r="AQ29" s="48">
        <f t="shared" si="40"/>
        <v>5.1333333333334057</v>
      </c>
      <c r="AR29" s="48">
        <f t="shared" si="41"/>
        <v>76</v>
      </c>
      <c r="AV29" s="108">
        <f t="shared" si="48"/>
        <v>1.4232000000000002</v>
      </c>
      <c r="AW29" s="71">
        <f t="shared" si="49"/>
        <v>16</v>
      </c>
      <c r="AX29" s="48">
        <f t="shared" si="50"/>
        <v>0</v>
      </c>
      <c r="AY29" s="48">
        <f t="shared" si="51"/>
        <v>-2.1333333333333291E-3</v>
      </c>
      <c r="AZ29" s="48">
        <f t="shared" si="52"/>
        <v>7.1999999999999953E-2</v>
      </c>
      <c r="BA29" s="48">
        <f t="shared" si="53"/>
        <v>-4.6666666666666613E-2</v>
      </c>
      <c r="BB29" s="48">
        <f t="shared" si="54"/>
        <v>1.4000000000000001</v>
      </c>
      <c r="BG29" s="48">
        <f t="shared" si="55"/>
        <v>1.5794846864365599</v>
      </c>
      <c r="BH29" s="48">
        <f t="shared" si="56"/>
        <v>84</v>
      </c>
      <c r="BI29" s="48">
        <f t="shared" si="42"/>
        <v>0</v>
      </c>
      <c r="BJ29" s="48">
        <f t="shared" si="43"/>
        <v>-0.90043753038395991</v>
      </c>
      <c r="BK29" s="48">
        <f t="shared" si="44"/>
        <v>7.1820612542534041</v>
      </c>
      <c r="BL29" s="48">
        <f t="shared" si="45"/>
        <v>-9.343315508020936</v>
      </c>
      <c r="BM29" s="48">
        <f t="shared" si="46"/>
        <v>4.6411764705880518</v>
      </c>
    </row>
    <row r="30" spans="1:66" x14ac:dyDescent="0.3">
      <c r="AL30" s="108">
        <f t="shared" si="36"/>
        <v>97.260625000000005</v>
      </c>
      <c r="AM30" s="71">
        <f t="shared" si="47"/>
        <v>58</v>
      </c>
      <c r="AN30" s="48">
        <f t="shared" si="37"/>
        <v>0</v>
      </c>
      <c r="AO30" s="48">
        <f t="shared" si="38"/>
        <v>-5.0810416666666391</v>
      </c>
      <c r="AP30" s="48">
        <f t="shared" si="39"/>
        <v>21.024999999999906</v>
      </c>
      <c r="AQ30" s="48">
        <f t="shared" si="40"/>
        <v>5.316666666666741</v>
      </c>
      <c r="AR30" s="48">
        <f t="shared" si="41"/>
        <v>76</v>
      </c>
      <c r="AV30" s="108">
        <f t="shared" si="48"/>
        <v>1.4355875000000002</v>
      </c>
      <c r="AW30" s="71">
        <f t="shared" si="49"/>
        <v>18</v>
      </c>
      <c r="AX30" s="48">
        <f t="shared" si="50"/>
        <v>0</v>
      </c>
      <c r="AY30" s="48">
        <f t="shared" si="51"/>
        <v>-3.0374999999999938E-3</v>
      </c>
      <c r="AZ30" s="48">
        <f t="shared" si="52"/>
        <v>9.1124999999999942E-2</v>
      </c>
      <c r="BA30" s="48">
        <f t="shared" si="53"/>
        <v>-5.2499999999999943E-2</v>
      </c>
      <c r="BB30" s="48">
        <f t="shared" si="54"/>
        <v>1.4000000000000001</v>
      </c>
      <c r="BG30" s="48">
        <f t="shared" si="55"/>
        <v>1.607731222654353</v>
      </c>
      <c r="BH30" s="48">
        <f t="shared" si="56"/>
        <v>85</v>
      </c>
      <c r="BI30" s="48">
        <f t="shared" si="42"/>
        <v>0</v>
      </c>
      <c r="BJ30" s="48">
        <f t="shared" si="43"/>
        <v>-0.93298037190072847</v>
      </c>
      <c r="BK30" s="48">
        <f t="shared" si="44"/>
        <v>7.3540805785120247</v>
      </c>
      <c r="BL30" s="48">
        <f t="shared" si="45"/>
        <v>-9.454545454544995</v>
      </c>
      <c r="BM30" s="48">
        <f t="shared" si="46"/>
        <v>4.6411764705880518</v>
      </c>
    </row>
    <row r="31" spans="1:66" x14ac:dyDescent="0.3">
      <c r="AL31" s="108">
        <f t="shared" si="36"/>
        <v>98.375</v>
      </c>
      <c r="AM31" s="71">
        <f t="shared" si="47"/>
        <v>60</v>
      </c>
      <c r="AN31" s="48">
        <f t="shared" si="37"/>
        <v>0</v>
      </c>
      <c r="AO31" s="48">
        <f t="shared" si="38"/>
        <v>-5.6249999999999698</v>
      </c>
      <c r="AP31" s="48">
        <f t="shared" si="39"/>
        <v>22.499999999999901</v>
      </c>
      <c r="AQ31" s="48">
        <f t="shared" si="40"/>
        <v>5.5000000000000773</v>
      </c>
      <c r="AR31" s="48">
        <f t="shared" si="41"/>
        <v>76</v>
      </c>
      <c r="AV31" s="108">
        <f t="shared" si="48"/>
        <v>1.4500000000000002</v>
      </c>
      <c r="AW31" s="71">
        <f t="shared" si="49"/>
        <v>20</v>
      </c>
      <c r="AX31" s="48">
        <f t="shared" si="50"/>
        <v>0</v>
      </c>
      <c r="AY31" s="48">
        <f t="shared" si="51"/>
        <v>-4.1666666666666588E-3</v>
      </c>
      <c r="AZ31" s="48">
        <f t="shared" si="52"/>
        <v>0.11249999999999993</v>
      </c>
      <c r="BA31" s="48">
        <f t="shared" si="53"/>
        <v>-5.8333333333333265E-2</v>
      </c>
      <c r="BB31" s="48">
        <f t="shared" si="54"/>
        <v>1.4000000000000001</v>
      </c>
      <c r="BG31" s="48">
        <f t="shared" si="55"/>
        <v>1.637238697131747</v>
      </c>
      <c r="BH31" s="48">
        <f t="shared" si="56"/>
        <v>86</v>
      </c>
      <c r="BI31" s="48">
        <f t="shared" si="42"/>
        <v>0</v>
      </c>
      <c r="BJ31" s="48">
        <f t="shared" si="43"/>
        <v>-0.9662980068059267</v>
      </c>
      <c r="BK31" s="48">
        <f t="shared" si="44"/>
        <v>7.5281356344186756</v>
      </c>
      <c r="BL31" s="48">
        <f t="shared" si="45"/>
        <v>-9.5657754010690539</v>
      </c>
      <c r="BM31" s="48">
        <f t="shared" si="46"/>
        <v>4.6411764705880518</v>
      </c>
    </row>
    <row r="32" spans="1:66" x14ac:dyDescent="0.3">
      <c r="AJ32" s="82"/>
      <c r="AL32" s="108">
        <f t="shared" si="36"/>
        <v>99.501875000000013</v>
      </c>
      <c r="AM32" s="71">
        <f t="shared" si="47"/>
        <v>62</v>
      </c>
      <c r="AN32" s="48">
        <f t="shared" si="37"/>
        <v>0</v>
      </c>
      <c r="AO32" s="48">
        <f t="shared" si="38"/>
        <v>-6.2064583333333001</v>
      </c>
      <c r="AP32" s="48">
        <f t="shared" si="39"/>
        <v>24.024999999999896</v>
      </c>
      <c r="AQ32" s="48">
        <f t="shared" si="40"/>
        <v>5.6833333333334126</v>
      </c>
      <c r="AR32" s="48">
        <f t="shared" si="41"/>
        <v>76</v>
      </c>
      <c r="AV32" s="108">
        <f t="shared" si="48"/>
        <v>1.4664125000000001</v>
      </c>
      <c r="AW32" s="71">
        <f t="shared" si="49"/>
        <v>22</v>
      </c>
      <c r="AX32" s="48">
        <f t="shared" si="50"/>
        <v>0</v>
      </c>
      <c r="AY32" s="48">
        <f t="shared" si="51"/>
        <v>-5.5458333333333219E-3</v>
      </c>
      <c r="AZ32" s="48">
        <f t="shared" si="52"/>
        <v>0.13612499999999991</v>
      </c>
      <c r="BA32" s="48">
        <f t="shared" si="53"/>
        <v>-6.4166666666666594E-2</v>
      </c>
      <c r="BB32" s="48">
        <f t="shared" si="54"/>
        <v>1.4000000000000001</v>
      </c>
      <c r="BG32" s="48">
        <f t="shared" si="55"/>
        <v>1.6679979946524082</v>
      </c>
      <c r="BH32" s="48">
        <f t="shared" si="56"/>
        <v>87</v>
      </c>
      <c r="BI32" s="48">
        <f t="shared" si="42"/>
        <v>0</v>
      </c>
      <c r="BJ32" s="48">
        <f t="shared" si="43"/>
        <v>-1.0003995503158891</v>
      </c>
      <c r="BK32" s="48">
        <f t="shared" si="44"/>
        <v>7.7042264219733578</v>
      </c>
      <c r="BL32" s="48">
        <f t="shared" si="45"/>
        <v>-9.6770053475931128</v>
      </c>
      <c r="BM32" s="48">
        <f t="shared" si="46"/>
        <v>4.6411764705880518</v>
      </c>
    </row>
    <row r="33" spans="1:65" x14ac:dyDescent="0.3">
      <c r="AJ33" s="82"/>
      <c r="AL33" s="108">
        <f t="shared" si="36"/>
        <v>100.64000000000001</v>
      </c>
      <c r="AM33" s="71">
        <f t="shared" si="47"/>
        <v>64</v>
      </c>
      <c r="AN33" s="48">
        <f t="shared" si="37"/>
        <v>0</v>
      </c>
      <c r="AO33" s="48">
        <f t="shared" si="38"/>
        <v>-6.8266666666666298</v>
      </c>
      <c r="AP33" s="48">
        <f t="shared" si="39"/>
        <v>25.599999999999888</v>
      </c>
      <c r="AQ33" s="48">
        <f t="shared" si="40"/>
        <v>5.8666666666667489</v>
      </c>
      <c r="AR33" s="48">
        <f t="shared" si="41"/>
        <v>76</v>
      </c>
      <c r="AV33" s="108">
        <f t="shared" si="48"/>
        <v>1.4848000000000001</v>
      </c>
      <c r="AW33" s="71">
        <f t="shared" si="49"/>
        <v>24</v>
      </c>
      <c r="AX33" s="48">
        <f t="shared" si="50"/>
        <v>0</v>
      </c>
      <c r="AY33" s="48">
        <f t="shared" si="51"/>
        <v>-7.1999999999999859E-3</v>
      </c>
      <c r="AZ33" s="48">
        <f t="shared" si="52"/>
        <v>0.16199999999999989</v>
      </c>
      <c r="BA33" s="48">
        <f t="shared" si="53"/>
        <v>-6.9999999999999923E-2</v>
      </c>
      <c r="BB33" s="48">
        <f t="shared" si="54"/>
        <v>1.4000000000000001</v>
      </c>
      <c r="BG33" s="48">
        <f t="shared" si="55"/>
        <v>1.7000000000000011</v>
      </c>
      <c r="BH33" s="48">
        <f t="shared" si="56"/>
        <v>88</v>
      </c>
      <c r="BI33" s="48">
        <f t="shared" si="42"/>
        <v>0</v>
      </c>
      <c r="BJ33" s="48">
        <f t="shared" si="43"/>
        <v>-1.0352941176469501</v>
      </c>
      <c r="BK33" s="48">
        <f t="shared" si="44"/>
        <v>7.8823529411760713</v>
      </c>
      <c r="BL33" s="48">
        <f t="shared" si="45"/>
        <v>-9.7882352941171717</v>
      </c>
      <c r="BM33" s="48">
        <f t="shared" si="46"/>
        <v>4.6411764705880518</v>
      </c>
    </row>
    <row r="34" spans="1:65" x14ac:dyDescent="0.3">
      <c r="AJ34" s="82"/>
      <c r="AL34" s="108">
        <f t="shared" si="36"/>
        <v>101.78812500000001</v>
      </c>
      <c r="AM34" s="71">
        <f t="shared" si="47"/>
        <v>66</v>
      </c>
      <c r="AN34" s="48">
        <f t="shared" si="37"/>
        <v>0</v>
      </c>
      <c r="AO34" s="48">
        <f t="shared" si="38"/>
        <v>-7.4868749999999595</v>
      </c>
      <c r="AP34" s="48">
        <f t="shared" si="39"/>
        <v>27.224999999999881</v>
      </c>
      <c r="AQ34" s="48">
        <f t="shared" si="40"/>
        <v>6.0500000000000851</v>
      </c>
      <c r="AR34" s="48">
        <f t="shared" si="41"/>
        <v>76</v>
      </c>
      <c r="AV34" s="108">
        <f t="shared" si="48"/>
        <v>1.5051375</v>
      </c>
      <c r="AW34" s="71">
        <f t="shared" si="49"/>
        <v>26</v>
      </c>
      <c r="AX34" s="48">
        <f t="shared" si="50"/>
        <v>0</v>
      </c>
      <c r="AY34" s="48">
        <f t="shared" si="51"/>
        <v>-9.154166666666649E-3</v>
      </c>
      <c r="AZ34" s="48">
        <f t="shared" si="52"/>
        <v>0.19012499999999988</v>
      </c>
      <c r="BA34" s="48">
        <f t="shared" si="53"/>
        <v>-7.5833333333333253E-2</v>
      </c>
      <c r="BB34" s="48">
        <f t="shared" si="54"/>
        <v>1.4000000000000001</v>
      </c>
      <c r="BG34" s="48">
        <f t="shared" si="55"/>
        <v>1.7332355979581919</v>
      </c>
      <c r="BH34" s="48">
        <f t="shared" si="56"/>
        <v>89</v>
      </c>
      <c r="BI34" s="48">
        <f t="shared" si="42"/>
        <v>0</v>
      </c>
      <c r="BJ34" s="48">
        <f t="shared" si="43"/>
        <v>-1.0709908240154442</v>
      </c>
      <c r="BK34" s="48">
        <f t="shared" si="44"/>
        <v>8.0625151920268152</v>
      </c>
      <c r="BL34" s="48">
        <f t="shared" si="45"/>
        <v>-9.8994652406412307</v>
      </c>
      <c r="BM34" s="48">
        <f t="shared" si="46"/>
        <v>4.6411764705880518</v>
      </c>
    </row>
    <row r="35" spans="1:65" x14ac:dyDescent="0.3">
      <c r="AJ35" s="82"/>
      <c r="AL35" s="108">
        <f t="shared" si="36"/>
        <v>102.94500000000001</v>
      </c>
      <c r="AM35" s="71">
        <f t="shared" si="47"/>
        <v>68</v>
      </c>
      <c r="AN35" s="48">
        <f t="shared" si="37"/>
        <v>0</v>
      </c>
      <c r="AO35" s="48">
        <f t="shared" si="38"/>
        <v>-8.1883333333332899</v>
      </c>
      <c r="AP35" s="48">
        <f t="shared" si="39"/>
        <v>28.899999999999874</v>
      </c>
      <c r="AQ35" s="48">
        <f t="shared" si="40"/>
        <v>6.2333333333334204</v>
      </c>
      <c r="AR35" s="48">
        <f t="shared" si="41"/>
        <v>76</v>
      </c>
      <c r="AV35" s="108">
        <f t="shared" si="48"/>
        <v>1.5274000000000001</v>
      </c>
      <c r="AW35" s="71">
        <f t="shared" si="49"/>
        <v>28</v>
      </c>
      <c r="AX35" s="48">
        <f t="shared" si="50"/>
        <v>0</v>
      </c>
      <c r="AY35" s="48">
        <f t="shared" si="51"/>
        <v>-1.1433333333333311E-2</v>
      </c>
      <c r="AZ35" s="48">
        <f t="shared" si="52"/>
        <v>0.22049999999999986</v>
      </c>
      <c r="BA35" s="48">
        <f t="shared" si="53"/>
        <v>-8.1666666666666568E-2</v>
      </c>
      <c r="BB35" s="48">
        <f t="shared" si="54"/>
        <v>1.4000000000000001</v>
      </c>
      <c r="BG35" s="48">
        <f t="shared" si="55"/>
        <v>1.7676956733106479</v>
      </c>
      <c r="BH35" s="48">
        <f t="shared" si="56"/>
        <v>90</v>
      </c>
      <c r="BI35" s="48">
        <f t="shared" si="42"/>
        <v>0</v>
      </c>
      <c r="BJ35" s="48">
        <f t="shared" si="43"/>
        <v>-1.1074987846377058</v>
      </c>
      <c r="BK35" s="48">
        <f t="shared" si="44"/>
        <v>8.2447131745255913</v>
      </c>
      <c r="BL35" s="48">
        <f t="shared" si="45"/>
        <v>-10.01069518716529</v>
      </c>
      <c r="BM35" s="48">
        <f t="shared" si="46"/>
        <v>4.6411764705880518</v>
      </c>
    </row>
    <row r="36" spans="1:65" x14ac:dyDescent="0.3">
      <c r="AJ36" s="82"/>
      <c r="AL36" s="108">
        <f t="shared" si="36"/>
        <v>104.109375</v>
      </c>
      <c r="AM36" s="71">
        <f t="shared" si="47"/>
        <v>70</v>
      </c>
      <c r="AN36" s="48">
        <f t="shared" si="37"/>
        <v>0</v>
      </c>
      <c r="AO36" s="48">
        <f t="shared" si="38"/>
        <v>-8.9322916666666181</v>
      </c>
      <c r="AP36" s="48">
        <f t="shared" si="39"/>
        <v>30.624999999999865</v>
      </c>
      <c r="AQ36" s="48">
        <f t="shared" si="40"/>
        <v>6.4166666666667567</v>
      </c>
      <c r="AR36" s="48">
        <f t="shared" si="41"/>
        <v>76</v>
      </c>
      <c r="AV36" s="108">
        <f t="shared" si="48"/>
        <v>1.5515625000000002</v>
      </c>
      <c r="AW36" s="71">
        <f t="shared" si="49"/>
        <v>30</v>
      </c>
      <c r="AX36" s="48">
        <f t="shared" si="50"/>
        <v>0</v>
      </c>
      <c r="AY36" s="48">
        <f t="shared" si="51"/>
        <v>-1.4062499999999973E-2</v>
      </c>
      <c r="AZ36" s="48">
        <f t="shared" si="52"/>
        <v>0.25312499999999982</v>
      </c>
      <c r="BA36" s="48">
        <f t="shared" si="53"/>
        <v>-8.7499999999999897E-2</v>
      </c>
      <c r="BB36" s="48">
        <f t="shared" si="54"/>
        <v>1.4000000000000001</v>
      </c>
      <c r="BG36" s="48">
        <f t="shared" si="55"/>
        <v>1.8033711108410335</v>
      </c>
      <c r="BH36" s="48">
        <f t="shared" si="56"/>
        <v>91</v>
      </c>
      <c r="BI36" s="48">
        <f t="shared" si="42"/>
        <v>0</v>
      </c>
      <c r="BJ36" s="48">
        <f t="shared" si="43"/>
        <v>-1.1448271147300693</v>
      </c>
      <c r="BK36" s="48">
        <f t="shared" si="44"/>
        <v>8.4289468886723977</v>
      </c>
      <c r="BL36" s="48">
        <f t="shared" si="45"/>
        <v>-10.121925133689347</v>
      </c>
      <c r="BM36" s="48">
        <f t="shared" si="46"/>
        <v>4.6411764705880518</v>
      </c>
    </row>
    <row r="37" spans="1:65" x14ac:dyDescent="0.3">
      <c r="AJ37" s="82"/>
      <c r="AL37" s="108">
        <f t="shared" si="36"/>
        <v>105.28</v>
      </c>
      <c r="AM37" s="71">
        <f t="shared" si="47"/>
        <v>72</v>
      </c>
      <c r="AN37" s="48">
        <f t="shared" si="37"/>
        <v>0</v>
      </c>
      <c r="AO37" s="48">
        <f t="shared" si="38"/>
        <v>-9.7199999999999473</v>
      </c>
      <c r="AP37" s="48">
        <f t="shared" si="39"/>
        <v>32.399999999999856</v>
      </c>
      <c r="AQ37" s="48">
        <f t="shared" si="40"/>
        <v>6.600000000000092</v>
      </c>
      <c r="AR37" s="48">
        <f t="shared" si="41"/>
        <v>76</v>
      </c>
      <c r="AV37" s="108">
        <f t="shared" ref="AV37:AV114" si="57">AX37+AY37+AZ37+BA37+BB37</f>
        <v>1.5776000000000001</v>
      </c>
      <c r="AW37" s="71">
        <f t="shared" ref="AW37:AW114" si="58">AW36+2</f>
        <v>32</v>
      </c>
      <c r="AX37" s="48">
        <f t="shared" si="50"/>
        <v>0</v>
      </c>
      <c r="AY37" s="48">
        <f t="shared" ref="AY37:AY114" si="59">AW37*AW37*AW37*$AW$19</f>
        <v>-1.7066666666666633E-2</v>
      </c>
      <c r="AZ37" s="48">
        <f t="shared" ref="AZ37:AZ114" si="60">AW37*AW37*$AX$19</f>
        <v>0.28799999999999981</v>
      </c>
      <c r="BA37" s="48">
        <f t="shared" ref="BA37:BA114" si="61">AW37*$AY$19</f>
        <v>-9.3333333333333227E-2</v>
      </c>
      <c r="BB37" s="48">
        <f t="shared" si="54"/>
        <v>1.4000000000000001</v>
      </c>
      <c r="BG37" s="48">
        <f t="shared" si="55"/>
        <v>1.8402527953330114</v>
      </c>
      <c r="BH37" s="48">
        <f t="shared" si="56"/>
        <v>92</v>
      </c>
      <c r="BI37" s="48">
        <f t="shared" si="42"/>
        <v>0</v>
      </c>
      <c r="BJ37" s="48">
        <f t="shared" si="43"/>
        <v>-1.1829849295088695</v>
      </c>
      <c r="BK37" s="48">
        <f t="shared" si="44"/>
        <v>8.6152163344672346</v>
      </c>
      <c r="BL37" s="48">
        <f t="shared" si="45"/>
        <v>-10.233155080213406</v>
      </c>
      <c r="BM37" s="48">
        <f t="shared" si="46"/>
        <v>4.6411764705880518</v>
      </c>
    </row>
    <row r="38" spans="1:65" x14ac:dyDescent="0.3">
      <c r="AL38" s="108">
        <f t="shared" si="36"/>
        <v>106.455625</v>
      </c>
      <c r="AM38" s="71">
        <f t="shared" si="47"/>
        <v>74</v>
      </c>
      <c r="AN38" s="48">
        <f t="shared" si="37"/>
        <v>0</v>
      </c>
      <c r="AO38" s="48">
        <f t="shared" si="38"/>
        <v>-10.552708333333277</v>
      </c>
      <c r="AP38" s="48">
        <f t="shared" si="39"/>
        <v>34.224999999999852</v>
      </c>
      <c r="AQ38" s="48">
        <f t="shared" si="40"/>
        <v>6.7833333333334283</v>
      </c>
      <c r="AR38" s="48">
        <f t="shared" si="41"/>
        <v>76</v>
      </c>
      <c r="AV38" s="108">
        <f t="shared" si="57"/>
        <v>1.6054875000000002</v>
      </c>
      <c r="AW38" s="71">
        <f t="shared" si="58"/>
        <v>34</v>
      </c>
      <c r="AX38" s="48">
        <f t="shared" si="50"/>
        <v>0</v>
      </c>
      <c r="AY38" s="48">
        <f t="shared" si="59"/>
        <v>-2.0470833333333292E-2</v>
      </c>
      <c r="AZ38" s="48">
        <f t="shared" si="60"/>
        <v>0.32512499999999978</v>
      </c>
      <c r="BA38" s="48">
        <f t="shared" si="61"/>
        <v>-9.9166666666666556E-2</v>
      </c>
      <c r="BB38" s="48">
        <f t="shared" si="54"/>
        <v>1.4000000000000001</v>
      </c>
      <c r="BG38" s="48">
        <f t="shared" si="55"/>
        <v>1.8783316115702506</v>
      </c>
      <c r="BH38" s="48">
        <f t="shared" si="56"/>
        <v>93</v>
      </c>
      <c r="BI38" s="48">
        <f t="shared" si="42"/>
        <v>0</v>
      </c>
      <c r="BJ38" s="48">
        <f t="shared" si="43"/>
        <v>-1.2219813441904404</v>
      </c>
      <c r="BK38" s="48">
        <f t="shared" si="44"/>
        <v>8.8035215119101036</v>
      </c>
      <c r="BL38" s="48">
        <f t="shared" si="45"/>
        <v>-10.344385026737465</v>
      </c>
      <c r="BM38" s="48">
        <f t="shared" si="46"/>
        <v>4.6411764705880518</v>
      </c>
    </row>
    <row r="39" spans="1:65" x14ac:dyDescent="0.3">
      <c r="AL39" s="108">
        <f t="shared" si="36"/>
        <v>107.63500000000001</v>
      </c>
      <c r="AM39" s="71">
        <f t="shared" si="47"/>
        <v>76</v>
      </c>
      <c r="AN39" s="48">
        <f t="shared" si="37"/>
        <v>0</v>
      </c>
      <c r="AO39" s="48">
        <f t="shared" si="38"/>
        <v>-11.431666666666604</v>
      </c>
      <c r="AP39" s="48">
        <f t="shared" si="39"/>
        <v>36.099999999999845</v>
      </c>
      <c r="AQ39" s="48">
        <f t="shared" si="40"/>
        <v>6.9666666666667645</v>
      </c>
      <c r="AR39" s="48">
        <f t="shared" si="41"/>
        <v>76</v>
      </c>
      <c r="AV39" s="108">
        <f t="shared" si="57"/>
        <v>1.6352000000000002</v>
      </c>
      <c r="AW39" s="71">
        <f t="shared" si="58"/>
        <v>36</v>
      </c>
      <c r="AX39" s="48">
        <f t="shared" si="50"/>
        <v>0</v>
      </c>
      <c r="AY39" s="48">
        <f t="shared" si="59"/>
        <v>-2.429999999999995E-2</v>
      </c>
      <c r="AZ39" s="48">
        <f t="shared" si="60"/>
        <v>0.36449999999999977</v>
      </c>
      <c r="BA39" s="48">
        <f t="shared" si="61"/>
        <v>-0.10499999999999989</v>
      </c>
      <c r="BB39" s="48">
        <f t="shared" si="54"/>
        <v>1.4000000000000001</v>
      </c>
      <c r="BG39" s="48">
        <f t="shared" si="55"/>
        <v>1.9175984443364147</v>
      </c>
      <c r="BH39" s="48">
        <f t="shared" si="56"/>
        <v>94</v>
      </c>
      <c r="BI39" s="48">
        <f t="shared" si="42"/>
        <v>0</v>
      </c>
      <c r="BJ39" s="48">
        <f t="shared" si="43"/>
        <v>-1.2618254739911168</v>
      </c>
      <c r="BK39" s="48">
        <f t="shared" si="44"/>
        <v>8.993862421001003</v>
      </c>
      <c r="BL39" s="48">
        <f t="shared" si="45"/>
        <v>-10.455614973261524</v>
      </c>
      <c r="BM39" s="48">
        <f t="shared" si="46"/>
        <v>4.6411764705880518</v>
      </c>
    </row>
    <row r="40" spans="1:65" x14ac:dyDescent="0.3">
      <c r="AL40" s="108">
        <f t="shared" si="36"/>
        <v>108.81687500000001</v>
      </c>
      <c r="AM40" s="71">
        <f t="shared" si="47"/>
        <v>78</v>
      </c>
      <c r="AN40" s="48">
        <f t="shared" si="37"/>
        <v>0</v>
      </c>
      <c r="AO40" s="48">
        <f t="shared" si="38"/>
        <v>-12.358124999999934</v>
      </c>
      <c r="AP40" s="48">
        <f t="shared" si="39"/>
        <v>38.024999999999835</v>
      </c>
      <c r="AQ40" s="48">
        <f t="shared" si="40"/>
        <v>7.1500000000000998</v>
      </c>
      <c r="AR40" s="48">
        <f t="shared" si="41"/>
        <v>76</v>
      </c>
      <c r="AV40" s="108">
        <f t="shared" si="57"/>
        <v>1.6667125</v>
      </c>
      <c r="AW40" s="71">
        <f t="shared" si="58"/>
        <v>38</v>
      </c>
      <c r="AX40" s="48">
        <f t="shared" si="50"/>
        <v>0</v>
      </c>
      <c r="AY40" s="48">
        <f t="shared" si="59"/>
        <v>-2.857916666666661E-2</v>
      </c>
      <c r="AZ40" s="48">
        <f t="shared" si="60"/>
        <v>0.40612499999999974</v>
      </c>
      <c r="BA40" s="48">
        <f t="shared" si="61"/>
        <v>-0.1108333333333332</v>
      </c>
      <c r="BB40" s="48">
        <f t="shared" si="54"/>
        <v>1.4000000000000001</v>
      </c>
      <c r="BG40" s="48">
        <f t="shared" si="55"/>
        <v>1.958044178415169</v>
      </c>
      <c r="BH40" s="48">
        <f t="shared" si="56"/>
        <v>95</v>
      </c>
      <c r="BI40" s="48">
        <f t="shared" si="42"/>
        <v>0</v>
      </c>
      <c r="BJ40" s="48">
        <f t="shared" si="43"/>
        <v>-1.3025264341272331</v>
      </c>
      <c r="BK40" s="48">
        <f t="shared" si="44"/>
        <v>9.1862390617399328</v>
      </c>
      <c r="BL40" s="48">
        <f t="shared" si="45"/>
        <v>-10.566844919785582</v>
      </c>
      <c r="BM40" s="48">
        <f t="shared" si="46"/>
        <v>4.6411764705880518</v>
      </c>
    </row>
    <row r="41" spans="1:65" x14ac:dyDescent="0.3">
      <c r="AL41" s="108">
        <f t="shared" si="36"/>
        <v>110</v>
      </c>
      <c r="AM41" s="71">
        <f t="shared" si="47"/>
        <v>80</v>
      </c>
      <c r="AN41" s="48">
        <f t="shared" si="37"/>
        <v>0</v>
      </c>
      <c r="AO41" s="48">
        <f t="shared" si="38"/>
        <v>-13.333333333333261</v>
      </c>
      <c r="AP41" s="48">
        <f t="shared" si="39"/>
        <v>39.999999999999822</v>
      </c>
      <c r="AQ41" s="48">
        <f t="shared" si="40"/>
        <v>7.3333333333334361</v>
      </c>
      <c r="AR41" s="48">
        <f t="shared" si="41"/>
        <v>76</v>
      </c>
      <c r="AV41" s="108">
        <f t="shared" si="57"/>
        <v>1.7000000000000002</v>
      </c>
      <c r="AW41" s="71">
        <f t="shared" si="58"/>
        <v>40</v>
      </c>
      <c r="AX41" s="48">
        <f t="shared" si="50"/>
        <v>0</v>
      </c>
      <c r="AY41" s="48">
        <f t="shared" si="59"/>
        <v>-3.333333333333327E-2</v>
      </c>
      <c r="AZ41" s="48">
        <f t="shared" si="60"/>
        <v>0.44999999999999973</v>
      </c>
      <c r="BA41" s="48">
        <f t="shared" si="61"/>
        <v>-0.11666666666666653</v>
      </c>
      <c r="BB41" s="48">
        <f t="shared" si="54"/>
        <v>1.4000000000000001</v>
      </c>
      <c r="BG41" s="48">
        <f t="shared" si="55"/>
        <v>1.9996596985901807</v>
      </c>
      <c r="BH41" s="48">
        <f t="shared" si="56"/>
        <v>96</v>
      </c>
      <c r="BI41" s="48">
        <f t="shared" si="42"/>
        <v>0</v>
      </c>
      <c r="BJ41" s="48">
        <f t="shared" si="43"/>
        <v>-1.3440933398151238</v>
      </c>
      <c r="BK41" s="48">
        <f t="shared" si="44"/>
        <v>9.3806514341268947</v>
      </c>
      <c r="BL41" s="48">
        <f t="shared" si="45"/>
        <v>-10.678074866309641</v>
      </c>
      <c r="BM41" s="48">
        <f t="shared" si="46"/>
        <v>4.6411764705880518</v>
      </c>
    </row>
    <row r="42" spans="1:65" x14ac:dyDescent="0.3">
      <c r="AL42" s="108">
        <f t="shared" si="36"/>
        <v>111.18312499999999</v>
      </c>
      <c r="AM42" s="71">
        <f t="shared" si="47"/>
        <v>82</v>
      </c>
      <c r="AN42" s="48">
        <f t="shared" si="37"/>
        <v>0</v>
      </c>
      <c r="AO42" s="48">
        <f t="shared" si="38"/>
        <v>-14.358541666666589</v>
      </c>
      <c r="AP42" s="48">
        <f t="shared" si="39"/>
        <v>42.024999999999814</v>
      </c>
      <c r="AQ42" s="48">
        <f t="shared" si="40"/>
        <v>7.5166666666667723</v>
      </c>
      <c r="AR42" s="48">
        <f t="shared" si="41"/>
        <v>76</v>
      </c>
      <c r="AV42" s="108">
        <f t="shared" si="57"/>
        <v>1.7350375</v>
      </c>
      <c r="AW42" s="71">
        <f t="shared" si="58"/>
        <v>42</v>
      </c>
      <c r="AX42" s="48">
        <f t="shared" si="50"/>
        <v>0</v>
      </c>
      <c r="AY42" s="48">
        <f t="shared" si="59"/>
        <v>-3.858749999999992E-2</v>
      </c>
      <c r="AZ42" s="48">
        <f t="shared" si="60"/>
        <v>0.49612499999999965</v>
      </c>
      <c r="BA42" s="48">
        <f t="shared" si="61"/>
        <v>-0.12249999999999986</v>
      </c>
      <c r="BB42" s="48">
        <f t="shared" si="54"/>
        <v>1.4000000000000001</v>
      </c>
      <c r="BG42" s="48">
        <f t="shared" si="55"/>
        <v>2.042435889645116</v>
      </c>
      <c r="BH42" s="48">
        <f t="shared" si="56"/>
        <v>97</v>
      </c>
      <c r="BI42" s="48">
        <f t="shared" si="42"/>
        <v>0</v>
      </c>
      <c r="BJ42" s="48">
        <f t="shared" si="43"/>
        <v>-1.3865353062711232</v>
      </c>
      <c r="BK42" s="48">
        <f t="shared" si="44"/>
        <v>9.5770995381618871</v>
      </c>
      <c r="BL42" s="48">
        <f t="shared" si="45"/>
        <v>-10.7893048128337</v>
      </c>
      <c r="BM42" s="48">
        <f t="shared" si="46"/>
        <v>4.6411764705880518</v>
      </c>
    </row>
    <row r="43" spans="1:65" x14ac:dyDescent="0.3">
      <c r="AL43" s="108">
        <f t="shared" si="36"/>
        <v>112.36500000000001</v>
      </c>
      <c r="AM43" s="71">
        <f t="shared" si="47"/>
        <v>84</v>
      </c>
      <c r="AN43" s="48">
        <f t="shared" si="37"/>
        <v>0</v>
      </c>
      <c r="AO43" s="48">
        <f t="shared" si="38"/>
        <v>-15.434999999999917</v>
      </c>
      <c r="AP43" s="48">
        <f t="shared" si="39"/>
        <v>44.09999999999981</v>
      </c>
      <c r="AQ43" s="48">
        <f t="shared" si="40"/>
        <v>7.7000000000001076</v>
      </c>
      <c r="AR43" s="48">
        <f t="shared" si="41"/>
        <v>76</v>
      </c>
      <c r="AV43" s="108">
        <f t="shared" si="57"/>
        <v>1.7718</v>
      </c>
      <c r="AW43" s="71">
        <f t="shared" si="58"/>
        <v>44</v>
      </c>
      <c r="AX43" s="48">
        <f t="shared" si="50"/>
        <v>0</v>
      </c>
      <c r="AY43" s="48">
        <f t="shared" si="59"/>
        <v>-4.4366666666666575E-2</v>
      </c>
      <c r="AZ43" s="48">
        <f t="shared" si="60"/>
        <v>0.54449999999999965</v>
      </c>
      <c r="BA43" s="48">
        <f t="shared" si="61"/>
        <v>-0.12833333333333319</v>
      </c>
      <c r="BB43" s="48">
        <f t="shared" si="54"/>
        <v>1.4000000000000001</v>
      </c>
      <c r="BG43" s="48">
        <f t="shared" si="55"/>
        <v>2.0863636363636378</v>
      </c>
      <c r="BH43" s="48">
        <f t="shared" si="56"/>
        <v>98</v>
      </c>
      <c r="BI43" s="48">
        <f t="shared" si="42"/>
        <v>0</v>
      </c>
      <c r="BJ43" s="48">
        <f t="shared" si="43"/>
        <v>-1.429861448711566</v>
      </c>
      <c r="BK43" s="48">
        <f t="shared" si="44"/>
        <v>9.7755833738449116</v>
      </c>
      <c r="BL43" s="48">
        <f t="shared" si="45"/>
        <v>-10.900534759357759</v>
      </c>
      <c r="BM43" s="48">
        <f t="shared" si="46"/>
        <v>4.6411764705880518</v>
      </c>
    </row>
    <row r="44" spans="1:65" x14ac:dyDescent="0.3">
      <c r="AL44" s="108">
        <f t="shared" si="36"/>
        <v>113.544375</v>
      </c>
      <c r="AM44" s="71">
        <f t="shared" si="47"/>
        <v>86</v>
      </c>
      <c r="AN44" s="48">
        <f t="shared" si="37"/>
        <v>0</v>
      </c>
      <c r="AO44" s="48">
        <f t="shared" si="38"/>
        <v>-16.563958333333243</v>
      </c>
      <c r="AP44" s="48">
        <f t="shared" si="39"/>
        <v>46.224999999999795</v>
      </c>
      <c r="AQ44" s="48">
        <f t="shared" si="40"/>
        <v>7.8833333333334439</v>
      </c>
      <c r="AR44" s="48">
        <f t="shared" si="41"/>
        <v>76</v>
      </c>
      <c r="AV44" s="108">
        <f t="shared" si="57"/>
        <v>1.8102624999999999</v>
      </c>
      <c r="AW44" s="71">
        <f t="shared" si="58"/>
        <v>46</v>
      </c>
      <c r="AX44" s="48">
        <f t="shared" si="50"/>
        <v>0</v>
      </c>
      <c r="AY44" s="48">
        <f t="shared" si="59"/>
        <v>-5.0695833333333232E-2</v>
      </c>
      <c r="AZ44" s="48">
        <f t="shared" si="60"/>
        <v>0.59512499999999957</v>
      </c>
      <c r="BA44" s="48">
        <f t="shared" si="61"/>
        <v>-0.13416666666666652</v>
      </c>
      <c r="BB44" s="48">
        <f t="shared" si="54"/>
        <v>1.4000000000000001</v>
      </c>
      <c r="BG44" s="48">
        <f t="shared" si="55"/>
        <v>2.1314338235294112</v>
      </c>
      <c r="BH44" s="48">
        <f t="shared" si="56"/>
        <v>99</v>
      </c>
      <c r="BI44" s="48">
        <f t="shared" si="42"/>
        <v>0</v>
      </c>
      <c r="BJ44" s="48">
        <f t="shared" si="43"/>
        <v>-1.4740808823527864</v>
      </c>
      <c r="BK44" s="48">
        <f t="shared" si="44"/>
        <v>9.9761029411759647</v>
      </c>
      <c r="BL44" s="48">
        <f t="shared" si="45"/>
        <v>-11.011764705881818</v>
      </c>
      <c r="BM44" s="48">
        <f t="shared" si="46"/>
        <v>4.6411764705880518</v>
      </c>
    </row>
    <row r="45" spans="1:65" x14ac:dyDescent="0.3">
      <c r="AL45" s="108">
        <f t="shared" si="36"/>
        <v>114.72</v>
      </c>
      <c r="AM45" s="71">
        <f t="shared" si="47"/>
        <v>88</v>
      </c>
      <c r="AN45" s="48">
        <f t="shared" si="37"/>
        <v>0</v>
      </c>
      <c r="AO45" s="48">
        <f t="shared" si="38"/>
        <v>-17.74666666666657</v>
      </c>
      <c r="AP45" s="48">
        <f t="shared" si="39"/>
        <v>48.399999999999785</v>
      </c>
      <c r="AQ45" s="48">
        <f t="shared" si="40"/>
        <v>8.0666666666667801</v>
      </c>
      <c r="AR45" s="48">
        <f t="shared" si="41"/>
        <v>76</v>
      </c>
      <c r="AV45" s="108">
        <f t="shared" si="57"/>
        <v>1.8504</v>
      </c>
      <c r="AW45" s="71">
        <f t="shared" si="58"/>
        <v>48</v>
      </c>
      <c r="AX45" s="48">
        <f t="shared" si="50"/>
        <v>0</v>
      </c>
      <c r="AY45" s="48">
        <f t="shared" si="59"/>
        <v>-5.7599999999999887E-2</v>
      </c>
      <c r="AZ45" s="48">
        <f t="shared" si="60"/>
        <v>0.64799999999999958</v>
      </c>
      <c r="BA45" s="48">
        <f t="shared" si="61"/>
        <v>-0.13999999999999985</v>
      </c>
      <c r="BB45" s="48">
        <f t="shared" si="54"/>
        <v>1.4000000000000001</v>
      </c>
      <c r="BG45" s="48">
        <f t="shared" si="55"/>
        <v>2.1776373359261072</v>
      </c>
      <c r="BH45" s="48">
        <f t="shared" si="56"/>
        <v>100</v>
      </c>
      <c r="BI45" s="48">
        <f t="shared" si="42"/>
        <v>0</v>
      </c>
      <c r="BJ45" s="48">
        <f t="shared" si="43"/>
        <v>-1.5192027224111191</v>
      </c>
      <c r="BK45" s="48">
        <f t="shared" si="44"/>
        <v>10.178658240155052</v>
      </c>
      <c r="BL45" s="48">
        <f t="shared" si="45"/>
        <v>-11.122994652405877</v>
      </c>
      <c r="BM45" s="48">
        <f t="shared" si="46"/>
        <v>4.6411764705880518</v>
      </c>
    </row>
    <row r="46" spans="1:65" x14ac:dyDescent="0.3">
      <c r="AL46" s="108">
        <f t="shared" si="36"/>
        <v>115.890625</v>
      </c>
      <c r="AM46" s="71">
        <f t="shared" si="47"/>
        <v>90</v>
      </c>
      <c r="AN46" s="48">
        <f t="shared" si="37"/>
        <v>0</v>
      </c>
      <c r="AO46" s="48">
        <f t="shared" si="38"/>
        <v>-18.984374999999897</v>
      </c>
      <c r="AP46" s="48">
        <f t="shared" si="39"/>
        <v>50.62499999999978</v>
      </c>
      <c r="AQ46" s="48">
        <f t="shared" si="40"/>
        <v>8.2500000000001155</v>
      </c>
      <c r="AR46" s="48">
        <f t="shared" si="41"/>
        <v>76</v>
      </c>
      <c r="AV46" s="108">
        <f t="shared" si="57"/>
        <v>1.8921874999999999</v>
      </c>
      <c r="AW46" s="71">
        <f t="shared" si="58"/>
        <v>50</v>
      </c>
      <c r="AX46" s="48">
        <f t="shared" si="50"/>
        <v>0</v>
      </c>
      <c r="AY46" s="48">
        <f t="shared" si="59"/>
        <v>-6.5104166666666533E-2</v>
      </c>
      <c r="AZ46" s="48">
        <f t="shared" si="60"/>
        <v>0.70312499999999956</v>
      </c>
      <c r="BA46" s="48">
        <f t="shared" si="61"/>
        <v>-0.14583333333333318</v>
      </c>
      <c r="BB46" s="48">
        <f t="shared" si="54"/>
        <v>1.4000000000000001</v>
      </c>
      <c r="BG46" s="48">
        <f t="shared" si="55"/>
        <v>2.2249650583373857</v>
      </c>
      <c r="BH46" s="48">
        <f t="shared" si="56"/>
        <v>101</v>
      </c>
      <c r="BI46" s="48">
        <f t="shared" si="42"/>
        <v>0</v>
      </c>
      <c r="BJ46" s="48">
        <f t="shared" si="43"/>
        <v>-1.5652360841028983</v>
      </c>
      <c r="BK46" s="48">
        <f t="shared" si="44"/>
        <v>10.383249270782168</v>
      </c>
      <c r="BL46" s="48">
        <f t="shared" si="45"/>
        <v>-11.234224598929936</v>
      </c>
      <c r="BM46" s="48">
        <f t="shared" si="46"/>
        <v>4.6411764705880518</v>
      </c>
    </row>
    <row r="47" spans="1:65" x14ac:dyDescent="0.3">
      <c r="A47" s="137" t="s">
        <v>55</v>
      </c>
      <c r="B47" s="137"/>
      <c r="C47" s="137"/>
      <c r="AL47" s="108">
        <f t="shared" si="36"/>
        <v>117.05500000000001</v>
      </c>
      <c r="AM47" s="71">
        <f t="shared" si="47"/>
        <v>92</v>
      </c>
      <c r="AN47" s="48">
        <f t="shared" si="37"/>
        <v>0</v>
      </c>
      <c r="AO47" s="48">
        <f t="shared" si="38"/>
        <v>-20.278333333333222</v>
      </c>
      <c r="AP47" s="48">
        <f t="shared" si="39"/>
        <v>52.899999999999771</v>
      </c>
      <c r="AQ47" s="48">
        <f t="shared" si="40"/>
        <v>8.4333333333334508</v>
      </c>
      <c r="AR47" s="48">
        <f t="shared" si="41"/>
        <v>76</v>
      </c>
      <c r="AV47" s="108">
        <f t="shared" si="57"/>
        <v>1.9356</v>
      </c>
      <c r="AW47" s="71">
        <f t="shared" si="58"/>
        <v>52</v>
      </c>
      <c r="AX47" s="48">
        <f t="shared" si="50"/>
        <v>0</v>
      </c>
      <c r="AY47" s="48">
        <f t="shared" si="59"/>
        <v>-7.3233333333333192E-2</v>
      </c>
      <c r="AZ47" s="48">
        <f t="shared" si="60"/>
        <v>0.76049999999999951</v>
      </c>
      <c r="BA47" s="48">
        <f t="shared" si="61"/>
        <v>-0.15166666666666651</v>
      </c>
      <c r="BB47" s="48">
        <f t="shared" si="54"/>
        <v>1.4000000000000001</v>
      </c>
      <c r="BG47" s="48">
        <f t="shared" si="55"/>
        <v>2.2734078755469156</v>
      </c>
      <c r="BH47" s="48">
        <f t="shared" si="56"/>
        <v>102</v>
      </c>
      <c r="BI47" s="48">
        <f t="shared" si="42"/>
        <v>0</v>
      </c>
      <c r="BJ47" s="48">
        <f t="shared" si="43"/>
        <v>-1.6121900826444588</v>
      </c>
      <c r="BK47" s="48">
        <f t="shared" si="44"/>
        <v>10.589876033057315</v>
      </c>
      <c r="BL47" s="48">
        <f t="shared" si="45"/>
        <v>-11.345454545453993</v>
      </c>
      <c r="BM47" s="48">
        <f t="shared" si="46"/>
        <v>4.6411764705880518</v>
      </c>
    </row>
    <row r="48" spans="1:65" x14ac:dyDescent="0.3">
      <c r="A48" s="60"/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L48" s="108">
        <f t="shared" si="36"/>
        <v>118.21187499999999</v>
      </c>
      <c r="AM48" s="71">
        <f t="shared" si="47"/>
        <v>94</v>
      </c>
      <c r="AN48" s="48">
        <f t="shared" si="37"/>
        <v>0</v>
      </c>
      <c r="AO48" s="48">
        <f t="shared" si="38"/>
        <v>-21.629791666666549</v>
      </c>
      <c r="AP48" s="48">
        <f t="shared" si="39"/>
        <v>55.22499999999976</v>
      </c>
      <c r="AQ48" s="48">
        <f t="shared" si="40"/>
        <v>8.6166666666667879</v>
      </c>
      <c r="AR48" s="48">
        <f t="shared" si="41"/>
        <v>76</v>
      </c>
      <c r="AV48" s="108">
        <f t="shared" si="57"/>
        <v>1.9806124999999999</v>
      </c>
      <c r="AW48" s="71">
        <f t="shared" si="58"/>
        <v>54</v>
      </c>
      <c r="AX48" s="48">
        <f t="shared" si="50"/>
        <v>0</v>
      </c>
      <c r="AY48" s="48">
        <f t="shared" si="59"/>
        <v>-8.2012499999999836E-2</v>
      </c>
      <c r="AZ48" s="48">
        <f t="shared" si="60"/>
        <v>0.82012499999999944</v>
      </c>
      <c r="BA48" s="48">
        <f t="shared" si="61"/>
        <v>-0.15749999999999981</v>
      </c>
      <c r="BB48" s="48">
        <f t="shared" si="54"/>
        <v>1.4000000000000001</v>
      </c>
      <c r="BG48" s="48">
        <f t="shared" si="55"/>
        <v>2.3229566723383588</v>
      </c>
      <c r="BH48" s="48">
        <f t="shared" si="56"/>
        <v>103</v>
      </c>
      <c r="BI48" s="48">
        <f t="shared" si="42"/>
        <v>0</v>
      </c>
      <c r="BJ48" s="48">
        <f t="shared" si="43"/>
        <v>-1.6600738332521348</v>
      </c>
      <c r="BK48" s="48">
        <f t="shared" si="44"/>
        <v>10.798538526980494</v>
      </c>
      <c r="BL48" s="48">
        <f t="shared" si="45"/>
        <v>-11.456684491978052</v>
      </c>
      <c r="BM48" s="48">
        <f t="shared" si="46"/>
        <v>4.6411764705880518</v>
      </c>
    </row>
    <row r="49" spans="1:65" x14ac:dyDescent="0.3">
      <c r="A49" s="60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L49" s="108">
        <f t="shared" si="36"/>
        <v>119.36</v>
      </c>
      <c r="AM49" s="71">
        <f t="shared" si="47"/>
        <v>96</v>
      </c>
      <c r="AN49" s="48">
        <f t="shared" si="37"/>
        <v>0</v>
      </c>
      <c r="AO49" s="48">
        <f t="shared" si="38"/>
        <v>-23.039999999999875</v>
      </c>
      <c r="AP49" s="48">
        <f t="shared" si="39"/>
        <v>57.599999999999746</v>
      </c>
      <c r="AQ49" s="48">
        <f t="shared" si="40"/>
        <v>8.8000000000001233</v>
      </c>
      <c r="AR49" s="48">
        <f t="shared" si="41"/>
        <v>76</v>
      </c>
      <c r="AV49" s="108">
        <f t="shared" si="57"/>
        <v>2.0272000000000001</v>
      </c>
      <c r="AW49" s="71">
        <f t="shared" si="58"/>
        <v>56</v>
      </c>
      <c r="AX49" s="48">
        <f t="shared" si="50"/>
        <v>0</v>
      </c>
      <c r="AY49" s="48">
        <f t="shared" si="59"/>
        <v>-9.1466666666666488E-2</v>
      </c>
      <c r="AZ49" s="48">
        <f t="shared" si="60"/>
        <v>0.88199999999999945</v>
      </c>
      <c r="BA49" s="48">
        <f t="shared" si="61"/>
        <v>-0.16333333333333314</v>
      </c>
      <c r="BB49" s="48">
        <f t="shared" si="54"/>
        <v>1.4000000000000001</v>
      </c>
      <c r="BG49" s="48">
        <f t="shared" si="55"/>
        <v>2.3736023334953824</v>
      </c>
      <c r="BH49" s="48">
        <f t="shared" si="56"/>
        <v>104</v>
      </c>
      <c r="BI49" s="48">
        <f t="shared" si="42"/>
        <v>0</v>
      </c>
      <c r="BJ49" s="48">
        <f t="shared" si="43"/>
        <v>-1.7088964511422611</v>
      </c>
      <c r="BK49" s="48">
        <f t="shared" si="44"/>
        <v>11.009236752551702</v>
      </c>
      <c r="BL49" s="48">
        <f t="shared" si="45"/>
        <v>-11.567914438502111</v>
      </c>
      <c r="BM49" s="48">
        <f t="shared" si="46"/>
        <v>4.6411764705880518</v>
      </c>
    </row>
    <row r="50" spans="1:65" x14ac:dyDescent="0.3">
      <c r="A50" s="60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L50" s="108"/>
      <c r="AM50" s="71"/>
      <c r="AV50" s="108"/>
      <c r="AW50" s="71"/>
    </row>
    <row r="51" spans="1:65" x14ac:dyDescent="0.3">
      <c r="A51" s="60"/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L51" s="108"/>
      <c r="AM51" s="71"/>
      <c r="AV51" s="108"/>
      <c r="AW51" s="71"/>
    </row>
    <row r="52" spans="1:65" x14ac:dyDescent="0.3">
      <c r="A52" s="60"/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L52" s="108"/>
      <c r="AM52" s="71"/>
      <c r="AV52" s="108"/>
      <c r="AW52" s="71"/>
    </row>
    <row r="53" spans="1:65" x14ac:dyDescent="0.3">
      <c r="A53" s="60"/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L53" s="108"/>
      <c r="AM53" s="71"/>
      <c r="AV53" s="108"/>
      <c r="AW53" s="71"/>
    </row>
    <row r="54" spans="1:65" x14ac:dyDescent="0.3">
      <c r="A54" s="60"/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L54" s="108"/>
      <c r="AM54" s="71"/>
      <c r="AV54" s="108"/>
      <c r="AW54" s="71"/>
    </row>
    <row r="55" spans="1:65" x14ac:dyDescent="0.3">
      <c r="A55" s="60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L55" s="108"/>
      <c r="AM55" s="71"/>
      <c r="AV55" s="108"/>
      <c r="AW55" s="71"/>
    </row>
    <row r="56" spans="1:65" x14ac:dyDescent="0.3">
      <c r="A56" s="60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L56" s="108"/>
      <c r="AM56" s="71"/>
      <c r="AV56" s="108"/>
      <c r="AW56" s="71"/>
    </row>
    <row r="57" spans="1:65" x14ac:dyDescent="0.3">
      <c r="A57" s="60"/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L57" s="108"/>
      <c r="AM57" s="71"/>
      <c r="AV57" s="108"/>
      <c r="AW57" s="71"/>
    </row>
    <row r="58" spans="1:65" x14ac:dyDescent="0.3">
      <c r="A58" s="60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L58" s="108"/>
      <c r="AM58" s="71"/>
      <c r="AV58" s="108"/>
      <c r="AW58" s="71"/>
    </row>
    <row r="59" spans="1:65" x14ac:dyDescent="0.3">
      <c r="A59" s="60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L59" s="108"/>
      <c r="AM59" s="71"/>
      <c r="AV59" s="108"/>
      <c r="AW59" s="71"/>
    </row>
    <row r="60" spans="1:65" x14ac:dyDescent="0.3">
      <c r="A60" s="60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L60" s="108"/>
      <c r="AM60" s="71"/>
      <c r="AV60" s="108"/>
      <c r="AW60" s="71"/>
    </row>
    <row r="61" spans="1:65" x14ac:dyDescent="0.3">
      <c r="A61" s="60"/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L61" s="108"/>
      <c r="AM61" s="71"/>
      <c r="AV61" s="108"/>
      <c r="AW61" s="71"/>
    </row>
    <row r="62" spans="1:65" x14ac:dyDescent="0.3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L62" s="108"/>
      <c r="AM62" s="71"/>
      <c r="AV62" s="108"/>
      <c r="AW62" s="71"/>
    </row>
    <row r="63" spans="1:65" x14ac:dyDescent="0.3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L63" s="108"/>
      <c r="AM63" s="71"/>
      <c r="AV63" s="108"/>
      <c r="AW63" s="71"/>
    </row>
    <row r="64" spans="1:65" x14ac:dyDescent="0.3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L64" s="108"/>
      <c r="AM64" s="71"/>
      <c r="AV64" s="108"/>
      <c r="AW64" s="71"/>
    </row>
    <row r="65" spans="1:65" x14ac:dyDescent="0.3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L65" s="108"/>
      <c r="AM65" s="71"/>
      <c r="AV65" s="108"/>
      <c r="AW65" s="71"/>
    </row>
    <row r="66" spans="1:65" x14ac:dyDescent="0.3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L66" s="108"/>
      <c r="AM66" s="71"/>
      <c r="AV66" s="108"/>
      <c r="AW66" s="71"/>
    </row>
    <row r="67" spans="1:65" x14ac:dyDescent="0.3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L67" s="108"/>
      <c r="AM67" s="71"/>
      <c r="AV67" s="108"/>
      <c r="AW67" s="71"/>
    </row>
    <row r="68" spans="1:65" x14ac:dyDescent="0.3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L68" s="108"/>
      <c r="AM68" s="71"/>
      <c r="AV68" s="108"/>
      <c r="AW68" s="71"/>
    </row>
    <row r="69" spans="1:65" x14ac:dyDescent="0.3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L69" s="108"/>
      <c r="AM69" s="71"/>
      <c r="AV69" s="108"/>
      <c r="AW69" s="71"/>
    </row>
    <row r="70" spans="1:65" x14ac:dyDescent="0.3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L70" s="108"/>
      <c r="AM70" s="71"/>
      <c r="AV70" s="108"/>
      <c r="AW70" s="71"/>
    </row>
    <row r="71" spans="1:65" x14ac:dyDescent="0.3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L71" s="108"/>
      <c r="AM71" s="71"/>
      <c r="AV71" s="108"/>
      <c r="AW71" s="71"/>
    </row>
    <row r="72" spans="1:65" x14ac:dyDescent="0.3">
      <c r="A72" s="60"/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  <c r="AB72" s="60"/>
      <c r="AC72" s="60"/>
      <c r="AL72" s="108"/>
      <c r="AM72" s="71"/>
      <c r="AV72" s="108"/>
      <c r="AW72" s="71"/>
    </row>
    <row r="73" spans="1:65" x14ac:dyDescent="0.3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L73" s="108"/>
      <c r="AM73" s="71"/>
      <c r="AV73" s="108"/>
      <c r="AW73" s="71"/>
    </row>
    <row r="74" spans="1:65" x14ac:dyDescent="0.3">
      <c r="A74" s="60"/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  <c r="AL74" s="108"/>
      <c r="AM74" s="71"/>
      <c r="AV74" s="108"/>
      <c r="AW74" s="71"/>
    </row>
    <row r="75" spans="1:65" x14ac:dyDescent="0.3">
      <c r="A75" s="60"/>
      <c r="B75" s="60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  <c r="AA75" s="60"/>
      <c r="AB75" s="60"/>
      <c r="AC75" s="60"/>
      <c r="AL75" s="108"/>
      <c r="AM75" s="71"/>
      <c r="AV75" s="108"/>
      <c r="AW75" s="71"/>
    </row>
    <row r="76" spans="1:65" x14ac:dyDescent="0.3">
      <c r="A76" s="60"/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L76" s="108"/>
      <c r="AM76" s="71"/>
      <c r="AV76" s="108"/>
      <c r="AW76" s="71"/>
    </row>
    <row r="77" spans="1:65" x14ac:dyDescent="0.3">
      <c r="A77" s="60"/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  <c r="AA77" s="60"/>
      <c r="AB77" s="60"/>
      <c r="AC77" s="60"/>
      <c r="AL77" s="108"/>
      <c r="AM77" s="71"/>
      <c r="AV77" s="108"/>
      <c r="AW77" s="71"/>
    </row>
    <row r="78" spans="1:65" x14ac:dyDescent="0.3">
      <c r="A78" s="60"/>
      <c r="B78" s="60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  <c r="AA78" s="60"/>
      <c r="AB78" s="60"/>
      <c r="AC78" s="60"/>
      <c r="AL78" s="108">
        <f t="shared" si="36"/>
        <v>120.498125</v>
      </c>
      <c r="AM78" s="71">
        <f>AM49+2</f>
        <v>98</v>
      </c>
      <c r="AN78" s="48">
        <f t="shared" si="37"/>
        <v>0</v>
      </c>
      <c r="AO78" s="48">
        <f t="shared" si="38"/>
        <v>-24.5102083333332</v>
      </c>
      <c r="AP78" s="48">
        <f t="shared" si="39"/>
        <v>60.024999999999736</v>
      </c>
      <c r="AQ78" s="48">
        <f t="shared" si="40"/>
        <v>8.9833333333334586</v>
      </c>
      <c r="AR78" s="48">
        <f t="shared" si="41"/>
        <v>76</v>
      </c>
      <c r="AV78" s="108">
        <f t="shared" si="57"/>
        <v>2.0753374999999998</v>
      </c>
      <c r="AW78" s="71">
        <f>AW49+2</f>
        <v>58</v>
      </c>
      <c r="AX78" s="48">
        <f t="shared" si="50"/>
        <v>0</v>
      </c>
      <c r="AY78" s="48">
        <f t="shared" si="59"/>
        <v>-0.10162083333333313</v>
      </c>
      <c r="AZ78" s="48">
        <f t="shared" si="60"/>
        <v>0.94612499999999933</v>
      </c>
      <c r="BA78" s="48">
        <f t="shared" si="61"/>
        <v>-0.16916666666666647</v>
      </c>
      <c r="BB78" s="48">
        <f t="shared" si="54"/>
        <v>1.4000000000000001</v>
      </c>
      <c r="BG78" s="48">
        <f t="shared" si="55"/>
        <v>2.4253357438016536</v>
      </c>
      <c r="BH78" s="48">
        <f>BH49+1</f>
        <v>105</v>
      </c>
      <c r="BI78" s="48">
        <f t="shared" si="42"/>
        <v>0</v>
      </c>
      <c r="BJ78" s="48">
        <f t="shared" si="43"/>
        <v>-1.7586670515311715</v>
      </c>
      <c r="BK78" s="48">
        <f t="shared" si="44"/>
        <v>11.221970709770943</v>
      </c>
      <c r="BL78" s="48">
        <f t="shared" si="45"/>
        <v>-11.67914438502617</v>
      </c>
      <c r="BM78" s="48">
        <f t="shared" si="46"/>
        <v>4.6411764705880518</v>
      </c>
    </row>
    <row r="79" spans="1:65" x14ac:dyDescent="0.3">
      <c r="A79" s="60"/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  <c r="AA79" s="60"/>
      <c r="AB79" s="60"/>
      <c r="AC79" s="60"/>
      <c r="AL79" s="108">
        <f t="shared" si="36"/>
        <v>121.625</v>
      </c>
      <c r="AM79" s="71">
        <f t="shared" si="47"/>
        <v>100</v>
      </c>
      <c r="AN79" s="48">
        <f t="shared" si="37"/>
        <v>0</v>
      </c>
      <c r="AO79" s="48">
        <f t="shared" si="38"/>
        <v>-26.041666666666526</v>
      </c>
      <c r="AP79" s="48">
        <f t="shared" si="39"/>
        <v>62.499999999999723</v>
      </c>
      <c r="AQ79" s="48">
        <f t="shared" si="40"/>
        <v>9.1666666666667957</v>
      </c>
      <c r="AR79" s="48">
        <f t="shared" si="41"/>
        <v>76</v>
      </c>
      <c r="AV79" s="108">
        <f t="shared" si="57"/>
        <v>2.125</v>
      </c>
      <c r="AW79" s="71">
        <f t="shared" si="58"/>
        <v>60</v>
      </c>
      <c r="AX79" s="48">
        <f t="shared" si="50"/>
        <v>0</v>
      </c>
      <c r="AY79" s="48">
        <f t="shared" si="59"/>
        <v>-0.11249999999999978</v>
      </c>
      <c r="AZ79" s="48">
        <f t="shared" si="60"/>
        <v>1.0124999999999993</v>
      </c>
      <c r="BA79" s="48">
        <f t="shared" si="61"/>
        <v>-0.17499999999999979</v>
      </c>
      <c r="BB79" s="48">
        <f t="shared" si="54"/>
        <v>1.4000000000000001</v>
      </c>
      <c r="BG79" s="48">
        <f t="shared" si="55"/>
        <v>2.4781477880408378</v>
      </c>
      <c r="BH79" s="48">
        <f t="shared" si="56"/>
        <v>106</v>
      </c>
      <c r="BI79" s="48">
        <f t="shared" si="42"/>
        <v>0</v>
      </c>
      <c r="BJ79" s="48">
        <f t="shared" si="43"/>
        <v>-1.8093947496352014</v>
      </c>
      <c r="BK79" s="48">
        <f t="shared" si="44"/>
        <v>11.436740398638216</v>
      </c>
      <c r="BL79" s="48">
        <f t="shared" si="45"/>
        <v>-11.790374331550229</v>
      </c>
      <c r="BM79" s="48">
        <f t="shared" si="46"/>
        <v>4.6411764705880518</v>
      </c>
    </row>
    <row r="80" spans="1:65" x14ac:dyDescent="0.3">
      <c r="A80" s="60"/>
      <c r="B80" s="60"/>
      <c r="C80" s="60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  <c r="Z80" s="60"/>
      <c r="AA80" s="60"/>
      <c r="AB80" s="60"/>
      <c r="AC80" s="60"/>
      <c r="AL80" s="108">
        <f t="shared" si="36"/>
        <v>122.739375</v>
      </c>
      <c r="AM80" s="71">
        <f t="shared" si="47"/>
        <v>102</v>
      </c>
      <c r="AN80" s="48">
        <f t="shared" si="37"/>
        <v>0</v>
      </c>
      <c r="AO80" s="48">
        <f t="shared" si="38"/>
        <v>-27.635624999999852</v>
      </c>
      <c r="AP80" s="48">
        <f t="shared" si="39"/>
        <v>65.024999999999721</v>
      </c>
      <c r="AQ80" s="48">
        <f t="shared" si="40"/>
        <v>9.3500000000001311</v>
      </c>
      <c r="AR80" s="48">
        <f t="shared" si="41"/>
        <v>76</v>
      </c>
      <c r="AV80" s="108">
        <f t="shared" si="57"/>
        <v>2.1761624999999998</v>
      </c>
      <c r="AW80" s="71">
        <f t="shared" si="58"/>
        <v>62</v>
      </c>
      <c r="AX80" s="48">
        <f t="shared" si="50"/>
        <v>0</v>
      </c>
      <c r="AY80" s="48">
        <f t="shared" si="59"/>
        <v>-0.12412916666666642</v>
      </c>
      <c r="AZ80" s="48">
        <f t="shared" si="60"/>
        <v>1.0811249999999992</v>
      </c>
      <c r="BA80" s="48">
        <f t="shared" si="61"/>
        <v>-0.18083333333333312</v>
      </c>
      <c r="BB80" s="48">
        <f t="shared" si="54"/>
        <v>1.4000000000000001</v>
      </c>
      <c r="BG80" s="48">
        <f t="shared" si="55"/>
        <v>2.5320293509965968</v>
      </c>
      <c r="BH80" s="48">
        <f t="shared" si="56"/>
        <v>107</v>
      </c>
      <c r="BI80" s="48">
        <f t="shared" si="42"/>
        <v>0</v>
      </c>
      <c r="BJ80" s="48">
        <f t="shared" si="43"/>
        <v>-1.8610886606706845</v>
      </c>
      <c r="BK80" s="48">
        <f t="shared" si="44"/>
        <v>11.653545819153518</v>
      </c>
      <c r="BL80" s="48">
        <f t="shared" si="45"/>
        <v>-11.901604278074288</v>
      </c>
      <c r="BM80" s="48">
        <f t="shared" si="46"/>
        <v>4.6411764705880518</v>
      </c>
    </row>
    <row r="81" spans="1:73" x14ac:dyDescent="0.3">
      <c r="A81" s="60"/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  <c r="AA81" s="60"/>
      <c r="AB81" s="60"/>
      <c r="AC81" s="60"/>
      <c r="AL81" s="108">
        <f t="shared" si="36"/>
        <v>123.84</v>
      </c>
      <c r="AM81" s="71">
        <f t="shared" si="47"/>
        <v>104</v>
      </c>
      <c r="AN81" s="48">
        <f t="shared" si="37"/>
        <v>0</v>
      </c>
      <c r="AO81" s="48">
        <f t="shared" si="38"/>
        <v>-29.293333333333177</v>
      </c>
      <c r="AP81" s="48">
        <f t="shared" si="39"/>
        <v>67.59999999999971</v>
      </c>
      <c r="AQ81" s="48">
        <f t="shared" si="40"/>
        <v>9.5333333333334664</v>
      </c>
      <c r="AR81" s="48">
        <f t="shared" si="41"/>
        <v>76</v>
      </c>
      <c r="AV81" s="108">
        <f t="shared" si="57"/>
        <v>2.2288000000000001</v>
      </c>
      <c r="AW81" s="71">
        <f t="shared" si="58"/>
        <v>64</v>
      </c>
      <c r="AX81" s="48">
        <f t="shared" si="50"/>
        <v>0</v>
      </c>
      <c r="AY81" s="48">
        <f t="shared" si="59"/>
        <v>-0.13653333333333306</v>
      </c>
      <c r="AZ81" s="48">
        <f t="shared" si="60"/>
        <v>1.1519999999999992</v>
      </c>
      <c r="BA81" s="48">
        <f t="shared" si="61"/>
        <v>-0.18666666666666645</v>
      </c>
      <c r="BB81" s="48">
        <f t="shared" si="54"/>
        <v>1.4000000000000001</v>
      </c>
      <c r="BG81" s="48">
        <f t="shared" si="55"/>
        <v>2.5869713174526012</v>
      </c>
      <c r="BH81" s="48">
        <f t="shared" si="56"/>
        <v>108</v>
      </c>
      <c r="BI81" s="48">
        <f t="shared" si="42"/>
        <v>0</v>
      </c>
      <c r="BJ81" s="48">
        <f t="shared" si="43"/>
        <v>-1.9137578998539555</v>
      </c>
      <c r="BK81" s="48">
        <f t="shared" si="44"/>
        <v>11.872386971316852</v>
      </c>
      <c r="BL81" s="48">
        <f t="shared" si="45"/>
        <v>-12.012834224598347</v>
      </c>
      <c r="BM81" s="48">
        <f t="shared" si="46"/>
        <v>4.6411764705880518</v>
      </c>
    </row>
    <row r="82" spans="1:73" x14ac:dyDescent="0.3">
      <c r="A82" s="60"/>
      <c r="B82" s="60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  <c r="AA82" s="60"/>
      <c r="AB82" s="60"/>
      <c r="AC82" s="60"/>
      <c r="AL82" s="108">
        <f t="shared" si="36"/>
        <v>124.925625</v>
      </c>
      <c r="AM82" s="71">
        <f t="shared" si="47"/>
        <v>106</v>
      </c>
      <c r="AN82" s="48">
        <f t="shared" si="37"/>
        <v>0</v>
      </c>
      <c r="AO82" s="48">
        <f t="shared" si="38"/>
        <v>-31.016041666666499</v>
      </c>
      <c r="AP82" s="48">
        <f t="shared" si="39"/>
        <v>70.224999999999696</v>
      </c>
      <c r="AQ82" s="48">
        <f t="shared" si="40"/>
        <v>9.7166666666668036</v>
      </c>
      <c r="AR82" s="48">
        <f t="shared" si="41"/>
        <v>76</v>
      </c>
      <c r="AV82" s="108">
        <f t="shared" si="57"/>
        <v>2.2828874999999997</v>
      </c>
      <c r="AW82" s="71">
        <f t="shared" si="58"/>
        <v>66</v>
      </c>
      <c r="AX82" s="48">
        <f t="shared" si="50"/>
        <v>0</v>
      </c>
      <c r="AY82" s="48">
        <f t="shared" si="59"/>
        <v>-0.14973749999999969</v>
      </c>
      <c r="AZ82" s="48">
        <f t="shared" si="60"/>
        <v>1.2251249999999991</v>
      </c>
      <c r="BA82" s="48">
        <f t="shared" si="61"/>
        <v>-0.19249999999999978</v>
      </c>
      <c r="BB82" s="48">
        <f t="shared" si="54"/>
        <v>1.4000000000000001</v>
      </c>
      <c r="BG82" s="48">
        <f t="shared" si="55"/>
        <v>2.642964572192513</v>
      </c>
      <c r="BH82" s="48">
        <f t="shared" si="56"/>
        <v>109</v>
      </c>
      <c r="BI82" s="48">
        <f t="shared" si="42"/>
        <v>0</v>
      </c>
      <c r="BJ82" s="48">
        <f t="shared" si="43"/>
        <v>-1.9674115824013489</v>
      </c>
      <c r="BK82" s="48">
        <f t="shared" si="44"/>
        <v>12.093263855128216</v>
      </c>
      <c r="BL82" s="48">
        <f t="shared" si="45"/>
        <v>-12.124064171122406</v>
      </c>
      <c r="BM82" s="48">
        <f t="shared" si="46"/>
        <v>4.6411764705880518</v>
      </c>
    </row>
    <row r="83" spans="1:73" x14ac:dyDescent="0.3">
      <c r="A83" s="60"/>
      <c r="B83" s="60"/>
      <c r="C83" s="60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60"/>
      <c r="AA83" s="60"/>
      <c r="AB83" s="60"/>
      <c r="AC83" s="60"/>
      <c r="AL83" s="108">
        <f t="shared" si="36"/>
        <v>125.995</v>
      </c>
      <c r="AM83" s="71">
        <f t="shared" si="47"/>
        <v>108</v>
      </c>
      <c r="AN83" s="48">
        <f t="shared" si="37"/>
        <v>0</v>
      </c>
      <c r="AO83" s="48">
        <f t="shared" si="38"/>
        <v>-32.804999999999822</v>
      </c>
      <c r="AP83" s="48">
        <f t="shared" si="39"/>
        <v>72.899999999999679</v>
      </c>
      <c r="AQ83" s="48">
        <f t="shared" si="40"/>
        <v>9.9000000000001389</v>
      </c>
      <c r="AR83" s="48">
        <f t="shared" si="41"/>
        <v>76</v>
      </c>
      <c r="AV83" s="108">
        <f t="shared" si="57"/>
        <v>2.3383999999999996</v>
      </c>
      <c r="AW83" s="71">
        <f t="shared" si="58"/>
        <v>68</v>
      </c>
      <c r="AX83" s="48">
        <f t="shared" si="50"/>
        <v>0</v>
      </c>
      <c r="AY83" s="48">
        <f t="shared" si="59"/>
        <v>-0.16376666666666634</v>
      </c>
      <c r="AZ83" s="48">
        <f t="shared" si="60"/>
        <v>1.3004999999999991</v>
      </c>
      <c r="BA83" s="48">
        <f t="shared" si="61"/>
        <v>-0.19833333333333311</v>
      </c>
      <c r="BB83" s="48">
        <f t="shared" si="54"/>
        <v>1.4000000000000001</v>
      </c>
      <c r="BG83" s="48">
        <f t="shared" si="55"/>
        <v>2.6999999999999993</v>
      </c>
      <c r="BH83" s="48">
        <f t="shared" si="56"/>
        <v>110</v>
      </c>
      <c r="BI83" s="48">
        <f t="shared" si="42"/>
        <v>0</v>
      </c>
      <c r="BJ83" s="48">
        <f t="shared" si="43"/>
        <v>-2.0220588235291994</v>
      </c>
      <c r="BK83" s="48">
        <f t="shared" si="44"/>
        <v>12.316176470587612</v>
      </c>
      <c r="BL83" s="48">
        <f t="shared" si="45"/>
        <v>-12.235294117646465</v>
      </c>
      <c r="BM83" s="48">
        <f t="shared" si="46"/>
        <v>4.6411764705880518</v>
      </c>
    </row>
    <row r="84" spans="1:73" x14ac:dyDescent="0.3">
      <c r="A84" s="60"/>
      <c r="B84" s="60"/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  <c r="AA84" s="60"/>
      <c r="AB84" s="60"/>
      <c r="AC84" s="60"/>
      <c r="AL84" s="108">
        <f t="shared" si="36"/>
        <v>127.046875</v>
      </c>
      <c r="AM84" s="71">
        <f t="shared" si="47"/>
        <v>110</v>
      </c>
      <c r="AN84" s="48">
        <f t="shared" si="37"/>
        <v>0</v>
      </c>
      <c r="AO84" s="48">
        <f t="shared" si="38"/>
        <v>-34.661458333333144</v>
      </c>
      <c r="AP84" s="48">
        <f t="shared" si="39"/>
        <v>75.624999999999673</v>
      </c>
      <c r="AQ84" s="48">
        <f t="shared" si="40"/>
        <v>10.083333333333474</v>
      </c>
      <c r="AR84" s="48">
        <f t="shared" si="41"/>
        <v>76</v>
      </c>
      <c r="AV84" s="108">
        <f t="shared" si="57"/>
        <v>2.3953125000000002</v>
      </c>
      <c r="AW84" s="71">
        <f t="shared" si="58"/>
        <v>70</v>
      </c>
      <c r="AX84" s="48">
        <f t="shared" si="50"/>
        <v>0</v>
      </c>
      <c r="AY84" s="48">
        <f t="shared" si="59"/>
        <v>-0.17864583333333298</v>
      </c>
      <c r="AZ84" s="48">
        <f t="shared" si="60"/>
        <v>1.3781249999999992</v>
      </c>
      <c r="BA84" s="48">
        <f t="shared" si="61"/>
        <v>-0.20416666666666644</v>
      </c>
      <c r="BB84" s="48">
        <f t="shared" si="54"/>
        <v>1.4000000000000001</v>
      </c>
      <c r="BG84" s="48">
        <f t="shared" si="55"/>
        <v>2.7580684856587254</v>
      </c>
      <c r="BH84" s="48">
        <f t="shared" si="56"/>
        <v>111</v>
      </c>
      <c r="BI84" s="48">
        <f t="shared" si="42"/>
        <v>0</v>
      </c>
      <c r="BJ84" s="48">
        <f t="shared" si="43"/>
        <v>-2.0777087384538411</v>
      </c>
      <c r="BK84" s="48">
        <f t="shared" si="44"/>
        <v>12.541124817695039</v>
      </c>
      <c r="BL84" s="48">
        <f t="shared" si="45"/>
        <v>-12.346524064170524</v>
      </c>
      <c r="BM84" s="48">
        <f t="shared" si="46"/>
        <v>4.6411764705880518</v>
      </c>
    </row>
    <row r="85" spans="1:73" x14ac:dyDescent="0.3">
      <c r="A85" s="60"/>
      <c r="B85" s="60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  <c r="Z85" s="60"/>
      <c r="AA85" s="60"/>
      <c r="AB85" s="60"/>
      <c r="AC85" s="60"/>
      <c r="AL85" s="108">
        <f t="shared" si="36"/>
        <v>128.07999999999998</v>
      </c>
      <c r="AM85" s="71">
        <f t="shared" si="47"/>
        <v>112</v>
      </c>
      <c r="AN85" s="48">
        <f t="shared" si="37"/>
        <v>0</v>
      </c>
      <c r="AO85" s="48">
        <f t="shared" si="38"/>
        <v>-36.586666666666467</v>
      </c>
      <c r="AP85" s="48">
        <f t="shared" si="39"/>
        <v>78.39999999999965</v>
      </c>
      <c r="AQ85" s="48">
        <f t="shared" si="40"/>
        <v>10.266666666666811</v>
      </c>
      <c r="AR85" s="48">
        <f t="shared" si="41"/>
        <v>76</v>
      </c>
      <c r="AV85" s="108">
        <f t="shared" si="57"/>
        <v>2.4535999999999998</v>
      </c>
      <c r="AW85" s="71">
        <f t="shared" si="58"/>
        <v>72</v>
      </c>
      <c r="AX85" s="48">
        <f t="shared" si="50"/>
        <v>0</v>
      </c>
      <c r="AY85" s="48">
        <f t="shared" si="59"/>
        <v>-0.1943999999999996</v>
      </c>
      <c r="AZ85" s="48">
        <f t="shared" si="60"/>
        <v>1.4579999999999991</v>
      </c>
      <c r="BA85" s="48">
        <f t="shared" si="61"/>
        <v>-0.20999999999999977</v>
      </c>
      <c r="BB85" s="48">
        <f t="shared" si="54"/>
        <v>1.4000000000000001</v>
      </c>
      <c r="BG85" s="48">
        <f t="shared" si="55"/>
        <v>2.8171609139523568</v>
      </c>
      <c r="BH85" s="48">
        <f t="shared" si="56"/>
        <v>112</v>
      </c>
      <c r="BI85" s="48">
        <f t="shared" si="42"/>
        <v>0</v>
      </c>
      <c r="BJ85" s="48">
        <f t="shared" si="43"/>
        <v>-2.1343704423916088</v>
      </c>
      <c r="BK85" s="48">
        <f t="shared" si="44"/>
        <v>12.768108896450496</v>
      </c>
      <c r="BL85" s="48">
        <f t="shared" si="45"/>
        <v>-12.457754010694583</v>
      </c>
      <c r="BM85" s="48">
        <f t="shared" si="46"/>
        <v>4.6411764705880518</v>
      </c>
    </row>
    <row r="86" spans="1:73" s="48" customFormat="1" x14ac:dyDescent="0.3">
      <c r="A86" s="60"/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  <c r="AA86" s="60"/>
      <c r="AB86" s="60"/>
      <c r="AC86" s="60"/>
      <c r="AE86" s="60"/>
      <c r="AF86" s="60"/>
      <c r="AG86" s="60"/>
      <c r="AH86" s="60"/>
      <c r="AI86" s="60"/>
      <c r="AL86" s="108">
        <f t="shared" si="36"/>
        <v>129.09312499999999</v>
      </c>
      <c r="AM86" s="71">
        <f t="shared" si="47"/>
        <v>114</v>
      </c>
      <c r="AN86" s="48">
        <f t="shared" si="37"/>
        <v>0</v>
      </c>
      <c r="AO86" s="48">
        <f t="shared" si="38"/>
        <v>-38.581874999999791</v>
      </c>
      <c r="AP86" s="48">
        <f t="shared" si="39"/>
        <v>81.224999999999639</v>
      </c>
      <c r="AQ86" s="48">
        <f t="shared" si="40"/>
        <v>10.450000000000147</v>
      </c>
      <c r="AR86" s="48">
        <f t="shared" si="41"/>
        <v>76</v>
      </c>
      <c r="AV86" s="108">
        <f t="shared" si="57"/>
        <v>2.5132374999999998</v>
      </c>
      <c r="AW86" s="71">
        <f t="shared" si="58"/>
        <v>74</v>
      </c>
      <c r="AX86" s="48">
        <f t="shared" si="50"/>
        <v>0</v>
      </c>
      <c r="AY86" s="48">
        <f t="shared" si="59"/>
        <v>-0.21105416666666624</v>
      </c>
      <c r="AZ86" s="48">
        <f t="shared" si="60"/>
        <v>1.5401249999999991</v>
      </c>
      <c r="BA86" s="48">
        <f t="shared" si="61"/>
        <v>-0.2158333333333331</v>
      </c>
      <c r="BB86" s="48">
        <f t="shared" si="54"/>
        <v>1.4000000000000001</v>
      </c>
      <c r="BG86" s="48">
        <f t="shared" ref="BG86:BG114" si="62">BI86+BJ86+BK86+BL86+BM86</f>
        <v>2.8772681696645606</v>
      </c>
      <c r="BH86" s="48">
        <f t="shared" si="56"/>
        <v>113</v>
      </c>
      <c r="BI86" s="48">
        <f t="shared" si="42"/>
        <v>0</v>
      </c>
      <c r="BJ86" s="48">
        <f t="shared" si="43"/>
        <v>-2.1920530505588363</v>
      </c>
      <c r="BK86" s="48">
        <f t="shared" si="44"/>
        <v>12.997128706853985</v>
      </c>
      <c r="BL86" s="48">
        <f t="shared" si="45"/>
        <v>-12.56898395721864</v>
      </c>
      <c r="BM86" s="48">
        <f t="shared" si="46"/>
        <v>4.6411764705880518</v>
      </c>
      <c r="BS86" s="60"/>
      <c r="BT86" s="60"/>
      <c r="BU86" s="60"/>
    </row>
    <row r="87" spans="1:73" s="48" customFormat="1" x14ac:dyDescent="0.3">
      <c r="A87" s="60"/>
      <c r="B87" s="60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E87" s="60"/>
      <c r="AF87" s="60"/>
      <c r="AG87" s="60"/>
      <c r="AH87" s="60"/>
      <c r="AI87" s="60"/>
      <c r="AL87" s="108">
        <f t="shared" si="36"/>
        <v>130.08499999999998</v>
      </c>
      <c r="AM87" s="71">
        <f t="shared" si="47"/>
        <v>116</v>
      </c>
      <c r="AN87" s="48">
        <f t="shared" si="37"/>
        <v>0</v>
      </c>
      <c r="AO87" s="48">
        <f t="shared" si="38"/>
        <v>-40.648333333333113</v>
      </c>
      <c r="AP87" s="48">
        <f t="shared" si="39"/>
        <v>84.099999999999625</v>
      </c>
      <c r="AQ87" s="48">
        <f t="shared" si="40"/>
        <v>10.633333333333482</v>
      </c>
      <c r="AR87" s="48">
        <f t="shared" si="41"/>
        <v>76</v>
      </c>
      <c r="AV87" s="108">
        <f t="shared" si="57"/>
        <v>2.5741999999999998</v>
      </c>
      <c r="AW87" s="71">
        <f t="shared" si="58"/>
        <v>76</v>
      </c>
      <c r="AX87" s="48">
        <f t="shared" si="50"/>
        <v>0</v>
      </c>
      <c r="AY87" s="48">
        <f t="shared" si="59"/>
        <v>-0.22863333333333288</v>
      </c>
      <c r="AZ87" s="48">
        <f t="shared" si="60"/>
        <v>1.6244999999999989</v>
      </c>
      <c r="BA87" s="48">
        <f t="shared" si="61"/>
        <v>-0.2216666666666664</v>
      </c>
      <c r="BB87" s="48">
        <f t="shared" si="54"/>
        <v>1.4000000000000001</v>
      </c>
      <c r="BG87" s="48">
        <f t="shared" si="62"/>
        <v>2.9383811375789985</v>
      </c>
      <c r="BH87" s="48">
        <f t="shared" si="56"/>
        <v>114</v>
      </c>
      <c r="BI87" s="48">
        <f t="shared" si="42"/>
        <v>0</v>
      </c>
      <c r="BJ87" s="48">
        <f t="shared" si="43"/>
        <v>-2.250765678171859</v>
      </c>
      <c r="BK87" s="48">
        <f t="shared" si="44"/>
        <v>13.228184248905505</v>
      </c>
      <c r="BL87" s="48">
        <f t="shared" si="45"/>
        <v>-12.680213903742699</v>
      </c>
      <c r="BM87" s="48">
        <f t="shared" si="46"/>
        <v>4.6411764705880518</v>
      </c>
      <c r="BS87" s="60"/>
      <c r="BT87" s="60"/>
      <c r="BU87" s="60"/>
    </row>
    <row r="88" spans="1:73" s="48" customFormat="1" x14ac:dyDescent="0.3">
      <c r="A88" s="60"/>
      <c r="B88" s="60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E88" s="60"/>
      <c r="AF88" s="60"/>
      <c r="AG88" s="60"/>
      <c r="AH88" s="60"/>
      <c r="AI88" s="60"/>
      <c r="AL88" s="108">
        <f t="shared" si="36"/>
        <v>131.05437499999999</v>
      </c>
      <c r="AM88" s="71">
        <f t="shared" si="47"/>
        <v>118</v>
      </c>
      <c r="AN88" s="48">
        <f t="shared" si="37"/>
        <v>0</v>
      </c>
      <c r="AO88" s="48">
        <f t="shared" si="38"/>
        <v>-42.787291666666434</v>
      </c>
      <c r="AP88" s="48">
        <f t="shared" si="39"/>
        <v>87.024999999999622</v>
      </c>
      <c r="AQ88" s="48">
        <f t="shared" si="40"/>
        <v>10.816666666666817</v>
      </c>
      <c r="AR88" s="48">
        <f t="shared" si="41"/>
        <v>76</v>
      </c>
      <c r="AV88" s="108">
        <f t="shared" si="57"/>
        <v>2.6364624999999995</v>
      </c>
      <c r="AW88" s="71">
        <f t="shared" si="58"/>
        <v>78</v>
      </c>
      <c r="AX88" s="48">
        <f t="shared" si="50"/>
        <v>0</v>
      </c>
      <c r="AY88" s="48">
        <f t="shared" si="59"/>
        <v>-0.24716249999999951</v>
      </c>
      <c r="AZ88" s="48">
        <f t="shared" si="60"/>
        <v>1.7111249999999989</v>
      </c>
      <c r="BA88" s="48">
        <f t="shared" si="61"/>
        <v>-0.22749999999999973</v>
      </c>
      <c r="BB88" s="48">
        <f t="shared" si="54"/>
        <v>1.4000000000000001</v>
      </c>
      <c r="BG88" s="48">
        <f t="shared" si="62"/>
        <v>3.0004907024793379</v>
      </c>
      <c r="BH88" s="48">
        <f t="shared" si="56"/>
        <v>115</v>
      </c>
      <c r="BI88" s="48">
        <f t="shared" si="42"/>
        <v>0</v>
      </c>
      <c r="BJ88" s="48">
        <f t="shared" si="43"/>
        <v>-2.3105174404470108</v>
      </c>
      <c r="BK88" s="48">
        <f t="shared" si="44"/>
        <v>13.461275522605055</v>
      </c>
      <c r="BL88" s="48">
        <f t="shared" si="45"/>
        <v>-12.791443850266758</v>
      </c>
      <c r="BM88" s="48">
        <f t="shared" si="46"/>
        <v>4.6411764705880518</v>
      </c>
      <c r="BS88" s="60"/>
      <c r="BT88" s="60"/>
      <c r="BU88" s="60"/>
    </row>
    <row r="89" spans="1:73" s="48" customFormat="1" x14ac:dyDescent="0.3">
      <c r="A89" s="129"/>
      <c r="B89" s="129"/>
      <c r="C89" s="129"/>
      <c r="D89" s="129"/>
      <c r="E89" s="129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E89" s="60"/>
      <c r="AF89" s="60"/>
      <c r="AG89" s="60"/>
      <c r="AH89" s="60"/>
      <c r="AI89" s="60"/>
      <c r="AL89" s="108">
        <f t="shared" si="36"/>
        <v>132</v>
      </c>
      <c r="AM89" s="71">
        <f t="shared" si="47"/>
        <v>120</v>
      </c>
      <c r="AN89" s="48">
        <f t="shared" si="37"/>
        <v>0</v>
      </c>
      <c r="AO89" s="48">
        <f t="shared" si="38"/>
        <v>-44.999999999999758</v>
      </c>
      <c r="AP89" s="48">
        <f t="shared" si="39"/>
        <v>89.999999999999602</v>
      </c>
      <c r="AQ89" s="48">
        <f t="shared" si="40"/>
        <v>11.000000000000155</v>
      </c>
      <c r="AR89" s="48">
        <f t="shared" si="41"/>
        <v>76</v>
      </c>
      <c r="AV89" s="108">
        <f t="shared" si="57"/>
        <v>2.7</v>
      </c>
      <c r="AW89" s="71">
        <f t="shared" si="58"/>
        <v>80</v>
      </c>
      <c r="AX89" s="48">
        <f t="shared" si="50"/>
        <v>0</v>
      </c>
      <c r="AY89" s="48">
        <f t="shared" si="59"/>
        <v>-0.26666666666666616</v>
      </c>
      <c r="AZ89" s="48">
        <f t="shared" si="60"/>
        <v>1.7999999999999989</v>
      </c>
      <c r="BA89" s="48">
        <f t="shared" si="61"/>
        <v>-0.23333333333333306</v>
      </c>
      <c r="BB89" s="48">
        <f t="shared" si="54"/>
        <v>1.4000000000000001</v>
      </c>
      <c r="BG89" s="48">
        <f t="shared" si="62"/>
        <v>3.0635877491492458</v>
      </c>
      <c r="BH89" s="48">
        <f t="shared" si="56"/>
        <v>116</v>
      </c>
      <c r="BI89" s="48">
        <f t="shared" si="42"/>
        <v>0</v>
      </c>
      <c r="BJ89" s="48">
        <f t="shared" si="43"/>
        <v>-2.3713174526006262</v>
      </c>
      <c r="BK89" s="48">
        <f t="shared" si="44"/>
        <v>13.696402527952637</v>
      </c>
      <c r="BL89" s="48">
        <f t="shared" si="45"/>
        <v>-12.902673796790816</v>
      </c>
      <c r="BM89" s="48">
        <f t="shared" si="46"/>
        <v>4.6411764705880518</v>
      </c>
      <c r="BS89" s="60"/>
      <c r="BT89" s="60"/>
      <c r="BU89" s="60"/>
    </row>
    <row r="90" spans="1:73" s="48" customFormat="1" x14ac:dyDescent="0.3">
      <c r="A90" s="129"/>
      <c r="B90" s="129"/>
      <c r="C90" s="129"/>
      <c r="D90" s="129"/>
      <c r="E90" s="129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E90" s="60"/>
      <c r="AF90" s="60"/>
      <c r="AG90" s="60"/>
      <c r="AH90" s="60"/>
      <c r="AI90" s="60"/>
      <c r="AL90" s="108">
        <f t="shared" si="36"/>
        <v>132.920625</v>
      </c>
      <c r="AM90" s="71">
        <f t="shared" si="47"/>
        <v>122</v>
      </c>
      <c r="AN90" s="48">
        <f t="shared" si="37"/>
        <v>0</v>
      </c>
      <c r="AO90" s="48">
        <f t="shared" si="38"/>
        <v>-47.287708333333079</v>
      </c>
      <c r="AP90" s="48">
        <f t="shared" si="39"/>
        <v>93.024999999999594</v>
      </c>
      <c r="AQ90" s="48">
        <f t="shared" si="40"/>
        <v>11.18333333333349</v>
      </c>
      <c r="AR90" s="48">
        <f t="shared" si="41"/>
        <v>76</v>
      </c>
      <c r="AV90" s="108">
        <f t="shared" si="57"/>
        <v>2.7647874999999997</v>
      </c>
      <c r="AW90" s="71">
        <f t="shared" si="58"/>
        <v>82</v>
      </c>
      <c r="AX90" s="48">
        <f t="shared" si="50"/>
        <v>0</v>
      </c>
      <c r="AY90" s="48">
        <f t="shared" si="59"/>
        <v>-0.28717083333333276</v>
      </c>
      <c r="AZ90" s="48">
        <f t="shared" si="60"/>
        <v>1.8911249999999988</v>
      </c>
      <c r="BA90" s="48">
        <f t="shared" si="61"/>
        <v>-0.23916666666666639</v>
      </c>
      <c r="BB90" s="48">
        <f t="shared" si="54"/>
        <v>1.4000000000000001</v>
      </c>
      <c r="BG90" s="48">
        <f t="shared" si="62"/>
        <v>3.1276631623723858</v>
      </c>
      <c r="BH90" s="48">
        <f t="shared" si="56"/>
        <v>117</v>
      </c>
      <c r="BI90" s="48">
        <f t="shared" si="42"/>
        <v>0</v>
      </c>
      <c r="BJ90" s="48">
        <f t="shared" si="43"/>
        <v>-2.4331748298490394</v>
      </c>
      <c r="BK90" s="48">
        <f t="shared" si="44"/>
        <v>13.93356526494825</v>
      </c>
      <c r="BL90" s="48">
        <f t="shared" si="45"/>
        <v>-13.013903743314875</v>
      </c>
      <c r="BM90" s="48">
        <f t="shared" si="46"/>
        <v>4.6411764705880518</v>
      </c>
      <c r="BS90" s="60"/>
      <c r="BT90" s="60"/>
      <c r="BU90" s="60"/>
    </row>
    <row r="91" spans="1:73" s="48" customFormat="1" x14ac:dyDescent="0.3">
      <c r="A91" s="129"/>
      <c r="B91" s="129"/>
      <c r="C91" s="129"/>
      <c r="D91" s="129"/>
      <c r="E91" s="129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E91" s="60"/>
      <c r="AF91" s="60"/>
      <c r="AG91" s="60"/>
      <c r="AH91" s="60"/>
      <c r="AI91" s="60"/>
      <c r="AL91" s="108">
        <f t="shared" si="36"/>
        <v>133.815</v>
      </c>
      <c r="AM91" s="71">
        <f t="shared" si="47"/>
        <v>124</v>
      </c>
      <c r="AN91" s="48">
        <f t="shared" si="37"/>
        <v>0</v>
      </c>
      <c r="AO91" s="48">
        <f t="shared" si="38"/>
        <v>-49.651666666666401</v>
      </c>
      <c r="AP91" s="48">
        <f t="shared" si="39"/>
        <v>96.099999999999582</v>
      </c>
      <c r="AQ91" s="48">
        <f t="shared" si="40"/>
        <v>11.366666666666825</v>
      </c>
      <c r="AR91" s="48">
        <f t="shared" si="41"/>
        <v>76</v>
      </c>
      <c r="AV91" s="108">
        <f t="shared" si="57"/>
        <v>2.8308</v>
      </c>
      <c r="AW91" s="71">
        <f t="shared" si="58"/>
        <v>84</v>
      </c>
      <c r="AX91" s="48">
        <f t="shared" si="50"/>
        <v>0</v>
      </c>
      <c r="AY91" s="48">
        <f t="shared" si="59"/>
        <v>-0.30869999999999936</v>
      </c>
      <c r="AZ91" s="48">
        <f t="shared" si="60"/>
        <v>1.9844999999999986</v>
      </c>
      <c r="BA91" s="48">
        <f t="shared" si="61"/>
        <v>-0.24499999999999972</v>
      </c>
      <c r="BB91" s="48">
        <f t="shared" si="54"/>
        <v>1.4000000000000001</v>
      </c>
      <c r="BG91" s="48">
        <f t="shared" si="62"/>
        <v>3.1927078269324252</v>
      </c>
      <c r="BH91" s="48">
        <f t="shared" si="56"/>
        <v>118</v>
      </c>
      <c r="BI91" s="48">
        <f t="shared" si="42"/>
        <v>0</v>
      </c>
      <c r="BJ91" s="48">
        <f t="shared" si="43"/>
        <v>-2.4960986874085855</v>
      </c>
      <c r="BK91" s="48">
        <f t="shared" si="44"/>
        <v>14.172763733591893</v>
      </c>
      <c r="BL91" s="48">
        <f t="shared" si="45"/>
        <v>-13.125133689838934</v>
      </c>
      <c r="BM91" s="48">
        <f t="shared" si="46"/>
        <v>4.6411764705880518</v>
      </c>
      <c r="BS91" s="60"/>
      <c r="BT91" s="60"/>
      <c r="BU91" s="60"/>
    </row>
    <row r="92" spans="1:73" s="48" customFormat="1" x14ac:dyDescent="0.3"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  <c r="AA92" s="60"/>
      <c r="AB92" s="60"/>
      <c r="AC92" s="60"/>
      <c r="AE92" s="60"/>
      <c r="AF92" s="60"/>
      <c r="AG92" s="60"/>
      <c r="AH92" s="60"/>
      <c r="AI92" s="60"/>
      <c r="AL92" s="108">
        <f t="shared" si="36"/>
        <v>134.68187500000002</v>
      </c>
      <c r="AM92" s="71">
        <f t="shared" si="47"/>
        <v>126</v>
      </c>
      <c r="AN92" s="48">
        <f t="shared" si="37"/>
        <v>0</v>
      </c>
      <c r="AO92" s="48">
        <f t="shared" si="38"/>
        <v>-52.093124999999716</v>
      </c>
      <c r="AP92" s="48">
        <f t="shared" si="39"/>
        <v>99.224999999999568</v>
      </c>
      <c r="AQ92" s="48">
        <f t="shared" si="40"/>
        <v>11.550000000000162</v>
      </c>
      <c r="AR92" s="48">
        <f t="shared" si="41"/>
        <v>76</v>
      </c>
      <c r="AV92" s="108">
        <f t="shared" si="57"/>
        <v>2.8980124999999992</v>
      </c>
      <c r="AW92" s="71">
        <f t="shared" si="58"/>
        <v>86</v>
      </c>
      <c r="AX92" s="48">
        <f t="shared" si="50"/>
        <v>0</v>
      </c>
      <c r="AY92" s="48">
        <f t="shared" si="59"/>
        <v>-0.33127916666666601</v>
      </c>
      <c r="AZ92" s="48">
        <f t="shared" si="60"/>
        <v>2.0801249999999984</v>
      </c>
      <c r="BA92" s="48">
        <f t="shared" si="61"/>
        <v>-0.25083333333333302</v>
      </c>
      <c r="BB92" s="48">
        <f t="shared" si="54"/>
        <v>1.4000000000000001</v>
      </c>
      <c r="BG92" s="48">
        <f t="shared" si="62"/>
        <v>3.2587126276130274</v>
      </c>
      <c r="BH92" s="48">
        <f t="shared" si="56"/>
        <v>119</v>
      </c>
      <c r="BI92" s="48">
        <f t="shared" si="42"/>
        <v>0</v>
      </c>
      <c r="BJ92" s="48">
        <f t="shared" si="43"/>
        <v>-2.5600981404955987</v>
      </c>
      <c r="BK92" s="48">
        <f t="shared" si="44"/>
        <v>14.413997933883568</v>
      </c>
      <c r="BL92" s="48">
        <f t="shared" si="45"/>
        <v>-13.236363636362993</v>
      </c>
      <c r="BM92" s="48">
        <f t="shared" si="46"/>
        <v>4.6411764705880518</v>
      </c>
      <c r="BS92" s="60"/>
      <c r="BT92" s="60"/>
      <c r="BU92" s="60"/>
    </row>
    <row r="93" spans="1:73" s="48" customFormat="1" x14ac:dyDescent="0.3"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  <c r="AA93" s="60"/>
      <c r="AB93" s="60"/>
      <c r="AC93" s="60"/>
      <c r="AE93" s="60"/>
      <c r="AF93" s="60"/>
      <c r="AG93" s="60"/>
      <c r="AH93" s="60"/>
      <c r="AI93" s="60"/>
      <c r="AL93" s="108">
        <f t="shared" si="36"/>
        <v>135.52000000000001</v>
      </c>
      <c r="AM93" s="71">
        <f t="shared" si="47"/>
        <v>128</v>
      </c>
      <c r="AN93" s="48">
        <f t="shared" si="37"/>
        <v>0</v>
      </c>
      <c r="AO93" s="48">
        <f t="shared" si="38"/>
        <v>-54.613333333333038</v>
      </c>
      <c r="AP93" s="48">
        <f t="shared" si="39"/>
        <v>102.39999999999955</v>
      </c>
      <c r="AQ93" s="48">
        <f t="shared" si="40"/>
        <v>11.733333333333498</v>
      </c>
      <c r="AR93" s="48">
        <f t="shared" si="41"/>
        <v>76</v>
      </c>
      <c r="AV93" s="108">
        <f t="shared" si="57"/>
        <v>2.9663999999999997</v>
      </c>
      <c r="AW93" s="71">
        <f t="shared" si="58"/>
        <v>88</v>
      </c>
      <c r="AX93" s="48">
        <f t="shared" si="50"/>
        <v>0</v>
      </c>
      <c r="AY93" s="48">
        <f t="shared" si="59"/>
        <v>-0.3549333333333326</v>
      </c>
      <c r="AZ93" s="48">
        <f t="shared" si="60"/>
        <v>2.1779999999999986</v>
      </c>
      <c r="BA93" s="48">
        <f t="shared" si="61"/>
        <v>-0.25666666666666638</v>
      </c>
      <c r="BB93" s="48">
        <f t="shared" si="54"/>
        <v>1.4000000000000001</v>
      </c>
      <c r="BG93" s="48">
        <f t="shared" si="62"/>
        <v>3.3256684491978596</v>
      </c>
      <c r="BH93" s="48">
        <f t="shared" si="56"/>
        <v>120</v>
      </c>
      <c r="BI93" s="48">
        <f t="shared" si="42"/>
        <v>0</v>
      </c>
      <c r="BJ93" s="48">
        <f t="shared" si="43"/>
        <v>-2.6251823043264135</v>
      </c>
      <c r="BK93" s="48">
        <f t="shared" si="44"/>
        <v>14.657267865823274</v>
      </c>
      <c r="BL93" s="48">
        <f t="shared" si="45"/>
        <v>-13.347593582887052</v>
      </c>
      <c r="BM93" s="48">
        <f t="shared" si="46"/>
        <v>4.6411764705880518</v>
      </c>
      <c r="BS93" s="60"/>
      <c r="BT93" s="60"/>
      <c r="BU93" s="60"/>
    </row>
    <row r="94" spans="1:73" s="48" customFormat="1" x14ac:dyDescent="0.3">
      <c r="AE94" s="60"/>
      <c r="AF94" s="60"/>
      <c r="AG94" s="60"/>
      <c r="AH94" s="60"/>
      <c r="AI94" s="60"/>
      <c r="AL94" s="108">
        <f t="shared" si="36"/>
        <v>136.328125</v>
      </c>
      <c r="AM94" s="71">
        <f t="shared" si="47"/>
        <v>130</v>
      </c>
      <c r="AN94" s="48">
        <f t="shared" si="37"/>
        <v>0</v>
      </c>
      <c r="AO94" s="48">
        <f t="shared" si="38"/>
        <v>-57.213541666666359</v>
      </c>
      <c r="AP94" s="48">
        <f t="shared" si="39"/>
        <v>105.62499999999953</v>
      </c>
      <c r="AQ94" s="48">
        <f t="shared" si="40"/>
        <v>11.916666666666833</v>
      </c>
      <c r="AR94" s="48">
        <f t="shared" si="41"/>
        <v>76</v>
      </c>
      <c r="AV94" s="108">
        <f t="shared" si="57"/>
        <v>3.0359374999999993</v>
      </c>
      <c r="AW94" s="71">
        <f t="shared" si="58"/>
        <v>90</v>
      </c>
      <c r="AX94" s="48">
        <f t="shared" si="50"/>
        <v>0</v>
      </c>
      <c r="AY94" s="48">
        <f t="shared" si="59"/>
        <v>-0.37968749999999923</v>
      </c>
      <c r="AZ94" s="48">
        <f t="shared" si="60"/>
        <v>2.2781249999999984</v>
      </c>
      <c r="BA94" s="48">
        <f t="shared" si="61"/>
        <v>-0.26249999999999968</v>
      </c>
      <c r="BB94" s="48">
        <f t="shared" si="54"/>
        <v>1.4000000000000001</v>
      </c>
      <c r="BG94" s="48">
        <f t="shared" si="62"/>
        <v>3.3935661764705856</v>
      </c>
      <c r="BH94" s="48">
        <f t="shared" si="56"/>
        <v>121</v>
      </c>
      <c r="BI94" s="48">
        <f t="shared" si="42"/>
        <v>0</v>
      </c>
      <c r="BJ94" s="48">
        <f t="shared" si="43"/>
        <v>-2.6913602941173642</v>
      </c>
      <c r="BK94" s="48">
        <f t="shared" si="44"/>
        <v>14.90257352941101</v>
      </c>
      <c r="BL94" s="48">
        <f t="shared" si="45"/>
        <v>-13.458823529411111</v>
      </c>
      <c r="BM94" s="48">
        <f t="shared" si="46"/>
        <v>4.6411764705880518</v>
      </c>
      <c r="BS94" s="60"/>
      <c r="BT94" s="60"/>
      <c r="BU94" s="60"/>
    </row>
    <row r="95" spans="1:73" s="48" customFormat="1" x14ac:dyDescent="0.3">
      <c r="A95" s="73"/>
      <c r="B95" s="48" t="s">
        <v>32</v>
      </c>
      <c r="C95" s="48" t="s">
        <v>12</v>
      </c>
      <c r="D95" s="48" t="s">
        <v>13</v>
      </c>
      <c r="E95" s="48" t="s">
        <v>15</v>
      </c>
      <c r="AE95" s="60"/>
      <c r="AF95" s="60"/>
      <c r="AG95" s="60"/>
      <c r="AH95" s="60"/>
      <c r="AI95" s="60"/>
      <c r="AL95" s="108">
        <f t="shared" si="36"/>
        <v>137.10500000000002</v>
      </c>
      <c r="AM95" s="71">
        <f t="shared" si="47"/>
        <v>132</v>
      </c>
      <c r="AN95" s="48">
        <f t="shared" si="37"/>
        <v>0</v>
      </c>
      <c r="AO95" s="48">
        <f t="shared" si="38"/>
        <v>-59.894999999999676</v>
      </c>
      <c r="AP95" s="48">
        <f t="shared" si="39"/>
        <v>108.89999999999952</v>
      </c>
      <c r="AQ95" s="48">
        <f t="shared" si="40"/>
        <v>12.10000000000017</v>
      </c>
      <c r="AR95" s="48">
        <f t="shared" si="41"/>
        <v>76</v>
      </c>
      <c r="AV95" s="108">
        <f t="shared" si="57"/>
        <v>3.1065999999999994</v>
      </c>
      <c r="AW95" s="71">
        <f t="shared" si="58"/>
        <v>92</v>
      </c>
      <c r="AX95" s="48">
        <f t="shared" si="50"/>
        <v>0</v>
      </c>
      <c r="AY95" s="48">
        <f t="shared" si="59"/>
        <v>-0.40556666666666585</v>
      </c>
      <c r="AZ95" s="48">
        <f t="shared" si="60"/>
        <v>2.3804999999999983</v>
      </c>
      <c r="BA95" s="48">
        <f t="shared" si="61"/>
        <v>-0.26833333333333304</v>
      </c>
      <c r="BB95" s="48">
        <f t="shared" si="54"/>
        <v>1.4000000000000001</v>
      </c>
      <c r="BG95" s="48">
        <f t="shared" si="62"/>
        <v>3.4623966942148741</v>
      </c>
      <c r="BH95" s="48">
        <f t="shared" si="56"/>
        <v>122</v>
      </c>
      <c r="BI95" s="48">
        <f t="shared" si="42"/>
        <v>0</v>
      </c>
      <c r="BJ95" s="48">
        <f t="shared" si="43"/>
        <v>-2.7586412250847858</v>
      </c>
      <c r="BK95" s="48">
        <f t="shared" si="44"/>
        <v>15.149914924646778</v>
      </c>
      <c r="BL95" s="48">
        <f t="shared" si="45"/>
        <v>-13.57005347593517</v>
      </c>
      <c r="BM95" s="48">
        <f t="shared" si="46"/>
        <v>4.6411764705880518</v>
      </c>
      <c r="BS95" s="60"/>
      <c r="BT95" s="60"/>
      <c r="BU95" s="60"/>
    </row>
    <row r="96" spans="1:73" s="48" customFormat="1" x14ac:dyDescent="0.3">
      <c r="A96" s="56">
        <f>Start!C13</f>
        <v>0.125</v>
      </c>
      <c r="B96" s="48">
        <f>IF(Start!C18&gt;0,Start!C18,"")</f>
        <v>76</v>
      </c>
      <c r="C96" s="50">
        <f>IF(Start!C16&gt;0,Start!C16,"")</f>
        <v>120</v>
      </c>
      <c r="D96" s="50">
        <f>IF(Start!C17&gt;0,Start!C17,"")</f>
        <v>70</v>
      </c>
      <c r="E96" s="72">
        <f>IF(Start!C19&gt;0,Start!C19,"")</f>
        <v>1.4</v>
      </c>
      <c r="AE96" s="60"/>
      <c r="AF96" s="60"/>
      <c r="AG96" s="60"/>
      <c r="AH96" s="60"/>
      <c r="AI96" s="60"/>
      <c r="AL96" s="108">
        <f t="shared" si="36"/>
        <v>137.84937500000001</v>
      </c>
      <c r="AM96" s="71">
        <f t="shared" si="47"/>
        <v>134</v>
      </c>
      <c r="AN96" s="48">
        <f t="shared" si="37"/>
        <v>0</v>
      </c>
      <c r="AO96" s="48">
        <f t="shared" si="38"/>
        <v>-62.658958333332997</v>
      </c>
      <c r="AP96" s="48">
        <f t="shared" si="39"/>
        <v>112.22499999999951</v>
      </c>
      <c r="AQ96" s="48">
        <f t="shared" si="40"/>
        <v>12.283333333333506</v>
      </c>
      <c r="AR96" s="48">
        <f t="shared" si="41"/>
        <v>76</v>
      </c>
      <c r="AV96" s="108">
        <f t="shared" si="57"/>
        <v>3.1783624999999995</v>
      </c>
      <c r="AW96" s="71">
        <f t="shared" si="58"/>
        <v>94</v>
      </c>
      <c r="AX96" s="48">
        <f t="shared" si="50"/>
        <v>0</v>
      </c>
      <c r="AY96" s="48">
        <f t="shared" si="59"/>
        <v>-0.43259583333333246</v>
      </c>
      <c r="AZ96" s="48">
        <f t="shared" si="60"/>
        <v>2.4851249999999983</v>
      </c>
      <c r="BA96" s="48">
        <f t="shared" si="61"/>
        <v>-0.27416666666666634</v>
      </c>
      <c r="BB96" s="48">
        <f t="shared" si="54"/>
        <v>1.4000000000000001</v>
      </c>
      <c r="BG96" s="48">
        <f t="shared" si="62"/>
        <v>3.5321508872143887</v>
      </c>
      <c r="BH96" s="48">
        <f t="shared" si="56"/>
        <v>123</v>
      </c>
      <c r="BI96" s="48">
        <f t="shared" si="42"/>
        <v>0</v>
      </c>
      <c r="BJ96" s="48">
        <f t="shared" si="43"/>
        <v>-2.8270342124450116</v>
      </c>
      <c r="BK96" s="48">
        <f t="shared" si="44"/>
        <v>15.399292051530576</v>
      </c>
      <c r="BL96" s="48">
        <f t="shared" si="45"/>
        <v>-13.681283422459227</v>
      </c>
      <c r="BM96" s="48">
        <f t="shared" si="46"/>
        <v>4.6411764705880518</v>
      </c>
      <c r="BS96" s="60"/>
      <c r="BT96" s="60"/>
      <c r="BU96" s="60"/>
    </row>
    <row r="97" spans="1:73" s="48" customFormat="1" x14ac:dyDescent="0.3">
      <c r="A97" s="56">
        <f>A96+Start!$C$13</f>
        <v>0.25</v>
      </c>
      <c r="B97" s="48">
        <f>IF(Start!C24&gt;0,Start!C24,"")</f>
        <v>88</v>
      </c>
      <c r="C97" s="50">
        <f>IF(Start!C22&gt;0,Start!C22,"")</f>
        <v>130</v>
      </c>
      <c r="D97" s="50">
        <f>IF(Start!C23&gt;0,Start!C23,"")</f>
        <v>75</v>
      </c>
      <c r="E97" s="72">
        <f>IF(Start!C25&gt;0,Start!C25,"")</f>
        <v>1.7</v>
      </c>
      <c r="AE97" s="60"/>
      <c r="AF97" s="60"/>
      <c r="AG97" s="60"/>
      <c r="AH97" s="60"/>
      <c r="AI97" s="60"/>
      <c r="AL97" s="108">
        <f t="shared" si="36"/>
        <v>138.56</v>
      </c>
      <c r="AM97" s="71">
        <f t="shared" si="47"/>
        <v>136</v>
      </c>
      <c r="AN97" s="48">
        <f t="shared" si="37"/>
        <v>0</v>
      </c>
      <c r="AO97" s="48">
        <f t="shared" si="38"/>
        <v>-65.50666666666632</v>
      </c>
      <c r="AP97" s="48">
        <f t="shared" si="39"/>
        <v>115.5999999999995</v>
      </c>
      <c r="AQ97" s="48">
        <f t="shared" si="40"/>
        <v>12.466666666666841</v>
      </c>
      <c r="AR97" s="48">
        <f t="shared" si="41"/>
        <v>76</v>
      </c>
      <c r="AV97" s="108">
        <f t="shared" si="57"/>
        <v>3.2511999999999999</v>
      </c>
      <c r="AW97" s="71">
        <f t="shared" si="58"/>
        <v>96</v>
      </c>
      <c r="AX97" s="48">
        <f t="shared" si="50"/>
        <v>0</v>
      </c>
      <c r="AY97" s="48">
        <f t="shared" si="59"/>
        <v>-0.4607999999999991</v>
      </c>
      <c r="AZ97" s="48">
        <f t="shared" si="60"/>
        <v>2.5919999999999983</v>
      </c>
      <c r="BA97" s="48">
        <f t="shared" si="61"/>
        <v>-0.27999999999999969</v>
      </c>
      <c r="BB97" s="48">
        <f t="shared" si="54"/>
        <v>1.4000000000000001</v>
      </c>
      <c r="BG97" s="48">
        <f t="shared" si="62"/>
        <v>3.602819640252795</v>
      </c>
      <c r="BH97" s="48">
        <f t="shared" si="56"/>
        <v>124</v>
      </c>
      <c r="BI97" s="48">
        <f t="shared" si="42"/>
        <v>0</v>
      </c>
      <c r="BJ97" s="48">
        <f t="shared" si="43"/>
        <v>-2.8965483714143772</v>
      </c>
      <c r="BK97" s="48">
        <f t="shared" si="44"/>
        <v>15.650704910062407</v>
      </c>
      <c r="BL97" s="48">
        <f t="shared" si="45"/>
        <v>-13.792513368983286</v>
      </c>
      <c r="BM97" s="48">
        <f t="shared" si="46"/>
        <v>4.6411764705880518</v>
      </c>
      <c r="BS97" s="60"/>
      <c r="BT97" s="60"/>
      <c r="BU97" s="60"/>
    </row>
    <row r="98" spans="1:73" s="48" customFormat="1" x14ac:dyDescent="0.3">
      <c r="A98" s="56">
        <f>A97+Start!$C$13</f>
        <v>0.375</v>
      </c>
      <c r="B98" s="48">
        <f>IF(Start!C30&gt;0,Start!C30,"")</f>
        <v>110</v>
      </c>
      <c r="C98" s="50">
        <f>IF(Start!C28&gt;0,Start!C28,"")</f>
        <v>145</v>
      </c>
      <c r="D98" s="50">
        <f>IF(Start!C29&gt;0,Start!C29,"")</f>
        <v>70</v>
      </c>
      <c r="E98" s="72">
        <f>IF(Start!C31&gt;0,Start!C31,"")</f>
        <v>2.7</v>
      </c>
      <c r="AE98" s="60"/>
      <c r="AF98" s="60"/>
      <c r="AG98" s="60"/>
      <c r="AH98" s="60"/>
      <c r="AI98" s="60"/>
      <c r="AL98" s="108">
        <f t="shared" si="36"/>
        <v>139.23562500000003</v>
      </c>
      <c r="AM98" s="71">
        <f t="shared" si="47"/>
        <v>138</v>
      </c>
      <c r="AN98" s="48">
        <f t="shared" si="37"/>
        <v>0</v>
      </c>
      <c r="AO98" s="48">
        <f t="shared" si="38"/>
        <v>-68.439374999999629</v>
      </c>
      <c r="AP98" s="48">
        <f t="shared" si="39"/>
        <v>119.02499999999948</v>
      </c>
      <c r="AQ98" s="48">
        <f t="shared" si="40"/>
        <v>12.650000000000178</v>
      </c>
      <c r="AR98" s="48">
        <f t="shared" si="41"/>
        <v>76</v>
      </c>
      <c r="AV98" s="108">
        <f t="shared" si="57"/>
        <v>3.3250875</v>
      </c>
      <c r="AW98" s="71">
        <f t="shared" si="58"/>
        <v>98</v>
      </c>
      <c r="AX98" s="48">
        <f t="shared" si="50"/>
        <v>0</v>
      </c>
      <c r="AY98" s="48">
        <f t="shared" si="59"/>
        <v>-0.49020416666666572</v>
      </c>
      <c r="AZ98" s="48">
        <f t="shared" si="60"/>
        <v>2.7011249999999984</v>
      </c>
      <c r="BA98" s="48">
        <f t="shared" si="61"/>
        <v>-0.285833333333333</v>
      </c>
      <c r="BB98" s="48">
        <f t="shared" si="54"/>
        <v>1.4000000000000001</v>
      </c>
      <c r="BG98" s="48">
        <f t="shared" si="62"/>
        <v>3.6743938381137564</v>
      </c>
      <c r="BH98" s="48">
        <f t="shared" si="56"/>
        <v>125</v>
      </c>
      <c r="BI98" s="48">
        <f t="shared" si="42"/>
        <v>0</v>
      </c>
      <c r="BJ98" s="48">
        <f t="shared" si="43"/>
        <v>-2.967192817209217</v>
      </c>
      <c r="BK98" s="48">
        <f t="shared" si="44"/>
        <v>15.904153500242266</v>
      </c>
      <c r="BL98" s="48">
        <f t="shared" si="45"/>
        <v>-13.903743315507345</v>
      </c>
      <c r="BM98" s="48">
        <f t="shared" si="46"/>
        <v>4.6411764705880518</v>
      </c>
      <c r="BS98" s="60"/>
      <c r="BT98" s="60"/>
      <c r="BU98" s="60"/>
    </row>
    <row r="99" spans="1:73" s="48" customFormat="1" x14ac:dyDescent="0.3">
      <c r="A99" s="56">
        <f>A98+Start!$C$13</f>
        <v>0.5</v>
      </c>
      <c r="B99" s="48">
        <f>IF(Start!C36&gt;0,Start!C36,"")</f>
        <v>132</v>
      </c>
      <c r="C99" s="50">
        <f>IF(Start!C34&gt;0,Start!C34,"")</f>
        <v>160</v>
      </c>
      <c r="D99" s="50">
        <f>IF(Start!C35&gt;0,Start!C35,"")</f>
        <v>75</v>
      </c>
      <c r="E99" s="72">
        <f>IF(Start!C37&gt;0,Start!C37,"")</f>
        <v>4.2</v>
      </c>
      <c r="AE99" s="60"/>
      <c r="AF99" s="60"/>
      <c r="AG99" s="60"/>
      <c r="AH99" s="60"/>
      <c r="AI99" s="60"/>
      <c r="AL99" s="108">
        <f t="shared" si="36"/>
        <v>139.87500000000003</v>
      </c>
      <c r="AM99" s="71">
        <f t="shared" si="47"/>
        <v>140</v>
      </c>
      <c r="AN99" s="48">
        <f t="shared" si="37"/>
        <v>0</v>
      </c>
      <c r="AO99" s="48">
        <f t="shared" si="38"/>
        <v>-71.458333333332945</v>
      </c>
      <c r="AP99" s="48">
        <f t="shared" si="39"/>
        <v>122.49999999999946</v>
      </c>
      <c r="AQ99" s="48">
        <f t="shared" si="40"/>
        <v>12.833333333333513</v>
      </c>
      <c r="AR99" s="48">
        <f t="shared" si="41"/>
        <v>76</v>
      </c>
      <c r="AV99" s="108">
        <f t="shared" si="57"/>
        <v>3.4</v>
      </c>
      <c r="AW99" s="71">
        <f t="shared" si="58"/>
        <v>100</v>
      </c>
      <c r="AX99" s="48">
        <f t="shared" si="50"/>
        <v>0</v>
      </c>
      <c r="AY99" s="48">
        <f t="shared" si="59"/>
        <v>-0.52083333333333226</v>
      </c>
      <c r="AZ99" s="48">
        <f t="shared" si="60"/>
        <v>2.8124999999999982</v>
      </c>
      <c r="BA99" s="48">
        <f t="shared" si="61"/>
        <v>-0.29166666666666635</v>
      </c>
      <c r="BB99" s="48">
        <f t="shared" si="54"/>
        <v>1.4000000000000001</v>
      </c>
      <c r="BG99" s="48">
        <f t="shared" si="62"/>
        <v>3.7468643655809419</v>
      </c>
      <c r="BH99" s="48">
        <f t="shared" si="56"/>
        <v>126</v>
      </c>
      <c r="BI99" s="48">
        <f t="shared" si="42"/>
        <v>0</v>
      </c>
      <c r="BJ99" s="48">
        <f t="shared" si="43"/>
        <v>-3.0389766650458645</v>
      </c>
      <c r="BK99" s="48">
        <f t="shared" si="44"/>
        <v>16.15963782207016</v>
      </c>
      <c r="BL99" s="48">
        <f t="shared" si="45"/>
        <v>-14.014973262031404</v>
      </c>
      <c r="BM99" s="48">
        <f t="shared" si="46"/>
        <v>4.6411764705880518</v>
      </c>
      <c r="BS99" s="60"/>
      <c r="BT99" s="60"/>
      <c r="BU99" s="60"/>
    </row>
    <row r="100" spans="1:73" s="48" customFormat="1" x14ac:dyDescent="0.3">
      <c r="A100" s="56">
        <f>A99+Start!$C$13</f>
        <v>0.625</v>
      </c>
      <c r="B100" s="48" t="str">
        <f>IF(Start!C42&gt;0,Start!C42,"")</f>
        <v/>
      </c>
      <c r="C100" s="50" t="str">
        <f>IF(Start!C40&gt;0,Start!C40,"")</f>
        <v/>
      </c>
      <c r="D100" s="50" t="str">
        <f>IF(Start!C41&gt;0,Start!C41,"")</f>
        <v/>
      </c>
      <c r="E100" s="72" t="str">
        <f>IF(Start!C43&gt;0,Start!C43,"")</f>
        <v/>
      </c>
      <c r="AE100" s="60"/>
      <c r="AF100" s="60"/>
      <c r="AG100" s="60"/>
      <c r="AH100" s="60"/>
      <c r="AI100" s="60"/>
      <c r="AL100" s="108">
        <f t="shared" si="36"/>
        <v>140.47687500000004</v>
      </c>
      <c r="AM100" s="71">
        <f t="shared" si="47"/>
        <v>142</v>
      </c>
      <c r="AN100" s="48">
        <f t="shared" si="37"/>
        <v>0</v>
      </c>
      <c r="AO100" s="48">
        <f t="shared" si="38"/>
        <v>-74.564791666666267</v>
      </c>
      <c r="AP100" s="48">
        <f t="shared" si="39"/>
        <v>126.02499999999945</v>
      </c>
      <c r="AQ100" s="48">
        <f t="shared" si="40"/>
        <v>13.016666666666849</v>
      </c>
      <c r="AR100" s="48">
        <f t="shared" si="41"/>
        <v>76</v>
      </c>
      <c r="AV100" s="108">
        <f t="shared" si="57"/>
        <v>3.4759124999999997</v>
      </c>
      <c r="AW100" s="71">
        <f t="shared" si="58"/>
        <v>102</v>
      </c>
      <c r="AX100" s="48">
        <f t="shared" si="50"/>
        <v>0</v>
      </c>
      <c r="AY100" s="48">
        <f t="shared" si="59"/>
        <v>-0.55271249999999894</v>
      </c>
      <c r="AZ100" s="48">
        <f t="shared" si="60"/>
        <v>2.9261249999999981</v>
      </c>
      <c r="BA100" s="48">
        <f t="shared" si="61"/>
        <v>-0.29749999999999965</v>
      </c>
      <c r="BB100" s="48">
        <f t="shared" si="54"/>
        <v>1.4000000000000001</v>
      </c>
      <c r="BG100" s="48">
        <f t="shared" si="62"/>
        <v>3.8202221074380152</v>
      </c>
      <c r="BH100" s="48">
        <f t="shared" si="56"/>
        <v>127</v>
      </c>
      <c r="BI100" s="48">
        <f t="shared" si="42"/>
        <v>0</v>
      </c>
      <c r="BJ100" s="48">
        <f t="shared" si="43"/>
        <v>-3.1119090301406551</v>
      </c>
      <c r="BK100" s="48">
        <f t="shared" si="44"/>
        <v>16.417157875546081</v>
      </c>
      <c r="BL100" s="48">
        <f t="shared" si="45"/>
        <v>-14.126203208555463</v>
      </c>
      <c r="BM100" s="48">
        <f t="shared" si="46"/>
        <v>4.6411764705880518</v>
      </c>
      <c r="BS100" s="60"/>
      <c r="BT100" s="60"/>
      <c r="BU100" s="60"/>
    </row>
    <row r="101" spans="1:73" s="48" customFormat="1" x14ac:dyDescent="0.3">
      <c r="A101" s="56">
        <f>A100+Start!$C$13</f>
        <v>0.75</v>
      </c>
      <c r="B101" s="48" t="str">
        <f>IF(Start!C48&gt;0,Start!C48,"")</f>
        <v/>
      </c>
      <c r="C101" s="50" t="str">
        <f>IF(Start!C46&gt;0,Start!C46,"")</f>
        <v/>
      </c>
      <c r="D101" s="50" t="str">
        <f>IF(Start!C47&gt;0,Start!C47,"")</f>
        <v/>
      </c>
      <c r="E101" s="72" t="str">
        <f>IF(Start!C49&gt;0,Start!C49,"")</f>
        <v/>
      </c>
      <c r="AE101" s="60"/>
      <c r="AF101" s="60"/>
      <c r="AG101" s="60"/>
      <c r="AH101" s="60"/>
      <c r="AI101" s="60"/>
      <c r="AL101" s="108">
        <f t="shared" si="36"/>
        <v>141.04000000000002</v>
      </c>
      <c r="AM101" s="71">
        <f t="shared" si="47"/>
        <v>144</v>
      </c>
      <c r="AN101" s="48">
        <f t="shared" si="37"/>
        <v>0</v>
      </c>
      <c r="AO101" s="48">
        <f t="shared" si="38"/>
        <v>-77.759999999999579</v>
      </c>
      <c r="AP101" s="48">
        <f t="shared" si="39"/>
        <v>129.59999999999943</v>
      </c>
      <c r="AQ101" s="48">
        <f t="shared" si="40"/>
        <v>13.200000000000184</v>
      </c>
      <c r="AR101" s="48">
        <f t="shared" si="41"/>
        <v>76</v>
      </c>
      <c r="AV101" s="108">
        <f t="shared" si="57"/>
        <v>3.5527999999999995</v>
      </c>
      <c r="AW101" s="71">
        <f t="shared" si="58"/>
        <v>104</v>
      </c>
      <c r="AX101" s="48">
        <f t="shared" si="50"/>
        <v>0</v>
      </c>
      <c r="AY101" s="48">
        <f t="shared" si="59"/>
        <v>-0.58586666666666554</v>
      </c>
      <c r="AZ101" s="48">
        <f t="shared" si="60"/>
        <v>3.041999999999998</v>
      </c>
      <c r="BA101" s="48">
        <f t="shared" si="61"/>
        <v>-0.30333333333333301</v>
      </c>
      <c r="BB101" s="48">
        <f t="shared" si="54"/>
        <v>1.4000000000000001</v>
      </c>
      <c r="BG101" s="48">
        <f t="shared" si="62"/>
        <v>3.8944579484686432</v>
      </c>
      <c r="BH101" s="48">
        <f t="shared" si="56"/>
        <v>128</v>
      </c>
      <c r="BI101" s="48">
        <f t="shared" si="42"/>
        <v>0</v>
      </c>
      <c r="BJ101" s="48">
        <f t="shared" si="43"/>
        <v>-3.185999027709923</v>
      </c>
      <c r="BK101" s="48">
        <f t="shared" si="44"/>
        <v>16.676713660670035</v>
      </c>
      <c r="BL101" s="48">
        <f t="shared" si="45"/>
        <v>-14.237433155079522</v>
      </c>
      <c r="BM101" s="48">
        <f t="shared" si="46"/>
        <v>4.6411764705880518</v>
      </c>
      <c r="BS101" s="60"/>
      <c r="BT101" s="60"/>
      <c r="BU101" s="60"/>
    </row>
    <row r="102" spans="1:73" s="48" customFormat="1" x14ac:dyDescent="0.3">
      <c r="A102" s="56">
        <f>A101+Start!$C$13</f>
        <v>0.875</v>
      </c>
      <c r="B102" s="48" t="str">
        <f>IF(Start!C54&gt;0,Start!C54,"")</f>
        <v/>
      </c>
      <c r="C102" s="50" t="str">
        <f>IF(Start!C52&gt;0,Start!C52,"")</f>
        <v/>
      </c>
      <c r="D102" s="50" t="str">
        <f>IF(Start!C53&gt;0,Start!C53,"")</f>
        <v/>
      </c>
      <c r="E102" s="72" t="str">
        <f>IF(Start!C55&gt;0,Start!C55,"")</f>
        <v/>
      </c>
      <c r="AE102" s="60"/>
      <c r="AF102" s="60"/>
      <c r="AG102" s="60"/>
      <c r="AH102" s="60"/>
      <c r="AI102" s="60"/>
      <c r="AL102" s="108">
        <f t="shared" si="36"/>
        <v>141.56312500000007</v>
      </c>
      <c r="AM102" s="71">
        <f t="shared" si="47"/>
        <v>146</v>
      </c>
      <c r="AN102" s="48">
        <f t="shared" si="37"/>
        <v>0</v>
      </c>
      <c r="AO102" s="48">
        <f t="shared" si="38"/>
        <v>-81.045208333332894</v>
      </c>
      <c r="AP102" s="48">
        <f t="shared" si="39"/>
        <v>133.22499999999943</v>
      </c>
      <c r="AQ102" s="48">
        <f t="shared" si="40"/>
        <v>13.383333333333521</v>
      </c>
      <c r="AR102" s="48">
        <f t="shared" si="41"/>
        <v>76</v>
      </c>
      <c r="AV102" s="108">
        <f t="shared" si="57"/>
        <v>3.6306374999999997</v>
      </c>
      <c r="AW102" s="71">
        <f t="shared" si="58"/>
        <v>106</v>
      </c>
      <c r="AX102" s="48">
        <f t="shared" si="50"/>
        <v>0</v>
      </c>
      <c r="AY102" s="48">
        <f t="shared" si="59"/>
        <v>-0.6203208333333321</v>
      </c>
      <c r="AZ102" s="48">
        <f t="shared" si="60"/>
        <v>3.1601249999999981</v>
      </c>
      <c r="BA102" s="48">
        <f t="shared" si="61"/>
        <v>-0.30916666666666631</v>
      </c>
      <c r="BB102" s="48">
        <f t="shared" si="54"/>
        <v>1.4000000000000001</v>
      </c>
      <c r="BG102" s="48">
        <f t="shared" si="62"/>
        <v>3.9695627734564898</v>
      </c>
      <c r="BH102" s="48">
        <f t="shared" si="56"/>
        <v>129</v>
      </c>
      <c r="BI102" s="48">
        <f t="shared" si="42"/>
        <v>0</v>
      </c>
      <c r="BJ102" s="48">
        <f t="shared" si="43"/>
        <v>-3.2612557729700025</v>
      </c>
      <c r="BK102" s="48">
        <f t="shared" si="44"/>
        <v>16.938305177442022</v>
      </c>
      <c r="BL102" s="48">
        <f t="shared" si="45"/>
        <v>-14.348663101603581</v>
      </c>
      <c r="BM102" s="48">
        <f t="shared" si="46"/>
        <v>4.6411764705880518</v>
      </c>
      <c r="BS102" s="60"/>
      <c r="BT102" s="60"/>
      <c r="BU102" s="60"/>
    </row>
    <row r="103" spans="1:73" s="48" customFormat="1" x14ac:dyDescent="0.3">
      <c r="A103" s="48" t="s">
        <v>31</v>
      </c>
      <c r="B103" s="48">
        <f>IF(Start!C60="","",Start!C60)</f>
        <v>124</v>
      </c>
      <c r="C103" s="48">
        <f>IF(Start!C58="","",Start!C58)</f>
        <v>130</v>
      </c>
      <c r="D103" s="48">
        <f>IF(Start!C59="","",Start!C59)</f>
        <v>75</v>
      </c>
      <c r="E103" s="72" t="str">
        <f>IF(Start!C61&gt;0,Start!C61,"")</f>
        <v/>
      </c>
      <c r="AE103" s="60"/>
      <c r="AF103" s="60"/>
      <c r="AG103" s="60"/>
      <c r="AH103" s="60"/>
      <c r="AI103" s="60"/>
      <c r="AL103" s="108">
        <f t="shared" si="36"/>
        <v>142.04500000000007</v>
      </c>
      <c r="AM103" s="71">
        <f t="shared" si="47"/>
        <v>148</v>
      </c>
      <c r="AN103" s="48">
        <f t="shared" si="37"/>
        <v>0</v>
      </c>
      <c r="AO103" s="48">
        <f t="shared" si="38"/>
        <v>-84.421666666666212</v>
      </c>
      <c r="AP103" s="48">
        <f t="shared" si="39"/>
        <v>136.89999999999941</v>
      </c>
      <c r="AQ103" s="48">
        <f t="shared" si="40"/>
        <v>13.566666666666857</v>
      </c>
      <c r="AR103" s="48">
        <f t="shared" si="41"/>
        <v>76</v>
      </c>
      <c r="AV103" s="108">
        <f t="shared" si="57"/>
        <v>3.7093999999999996</v>
      </c>
      <c r="AW103" s="71">
        <f t="shared" si="58"/>
        <v>108</v>
      </c>
      <c r="AX103" s="48">
        <f t="shared" si="50"/>
        <v>0</v>
      </c>
      <c r="AY103" s="48">
        <f t="shared" si="59"/>
        <v>-0.65609999999999868</v>
      </c>
      <c r="AZ103" s="48">
        <f t="shared" si="60"/>
        <v>3.2804999999999978</v>
      </c>
      <c r="BA103" s="48">
        <f t="shared" si="61"/>
        <v>-0.31499999999999961</v>
      </c>
      <c r="BB103" s="48">
        <f t="shared" si="54"/>
        <v>1.4000000000000001</v>
      </c>
      <c r="BG103" s="48">
        <f t="shared" si="62"/>
        <v>4.0455274671852202</v>
      </c>
      <c r="BH103" s="48">
        <f t="shared" si="56"/>
        <v>130</v>
      </c>
      <c r="BI103" s="48">
        <f t="shared" si="42"/>
        <v>0</v>
      </c>
      <c r="BJ103" s="48">
        <f t="shared" si="43"/>
        <v>-3.3376883811372284</v>
      </c>
      <c r="BK103" s="48">
        <f t="shared" si="44"/>
        <v>17.201932425862037</v>
      </c>
      <c r="BL103" s="48">
        <f t="shared" si="45"/>
        <v>-14.45989304812764</v>
      </c>
      <c r="BM103" s="48">
        <f t="shared" si="46"/>
        <v>4.6411764705880518</v>
      </c>
      <c r="BS103" s="60"/>
      <c r="BT103" s="60"/>
      <c r="BU103" s="60"/>
    </row>
    <row r="104" spans="1:73" s="48" customFormat="1" x14ac:dyDescent="0.3">
      <c r="A104" s="48" t="s">
        <v>30</v>
      </c>
      <c r="B104" s="48">
        <f>IF(Start!C66="","",Start!C66)</f>
        <v>100</v>
      </c>
      <c r="C104" s="48">
        <f>IF(Start!C64="","",Start!C64)</f>
        <v>120</v>
      </c>
      <c r="D104" s="48">
        <f>IF(Start!C65="","",Start!C65)</f>
        <v>70</v>
      </c>
      <c r="E104" s="72" t="str">
        <f>IF(Start!C67&gt;0,Start!C67,"")</f>
        <v/>
      </c>
      <c r="AE104" s="60"/>
      <c r="AF104" s="60"/>
      <c r="AG104" s="60"/>
      <c r="AH104" s="60"/>
      <c r="AI104" s="60"/>
      <c r="AL104" s="108">
        <f t="shared" si="36"/>
        <v>142.48437500000003</v>
      </c>
      <c r="AM104" s="71">
        <f t="shared" si="47"/>
        <v>150</v>
      </c>
      <c r="AN104" s="48">
        <f t="shared" si="37"/>
        <v>0</v>
      </c>
      <c r="AO104" s="48">
        <f t="shared" si="38"/>
        <v>-87.890624999999531</v>
      </c>
      <c r="AP104" s="48">
        <f t="shared" si="39"/>
        <v>140.62499999999937</v>
      </c>
      <c r="AQ104" s="48">
        <f t="shared" si="40"/>
        <v>13.750000000000192</v>
      </c>
      <c r="AR104" s="48">
        <f t="shared" si="41"/>
        <v>76</v>
      </c>
      <c r="AV104" s="108">
        <f t="shared" si="57"/>
        <v>3.7890625</v>
      </c>
      <c r="AW104" s="71">
        <f t="shared" si="58"/>
        <v>110</v>
      </c>
      <c r="AX104" s="48">
        <f t="shared" si="50"/>
        <v>0</v>
      </c>
      <c r="AY104" s="48">
        <f t="shared" si="59"/>
        <v>-0.69322916666666534</v>
      </c>
      <c r="AZ104" s="48">
        <f t="shared" si="60"/>
        <v>3.403124999999998</v>
      </c>
      <c r="BA104" s="48">
        <f t="shared" si="61"/>
        <v>-0.32083333333333297</v>
      </c>
      <c r="BB104" s="48">
        <f t="shared" si="54"/>
        <v>1.4000000000000001</v>
      </c>
      <c r="BG104" s="48">
        <f t="shared" si="62"/>
        <v>4.1223429144385015</v>
      </c>
      <c r="BH104" s="48">
        <f t="shared" si="56"/>
        <v>131</v>
      </c>
      <c r="BI104" s="48">
        <f t="shared" si="42"/>
        <v>0</v>
      </c>
      <c r="BJ104" s="48">
        <f t="shared" si="43"/>
        <v>-3.4153059674279351</v>
      </c>
      <c r="BK104" s="48">
        <f t="shared" si="44"/>
        <v>17.467595405930084</v>
      </c>
      <c r="BL104" s="48">
        <f t="shared" si="45"/>
        <v>-14.571122994651699</v>
      </c>
      <c r="BM104" s="48">
        <f t="shared" si="46"/>
        <v>4.6411764705880518</v>
      </c>
      <c r="BS104" s="60"/>
      <c r="BT104" s="60"/>
      <c r="BU104" s="60"/>
    </row>
    <row r="105" spans="1:73" s="48" customFormat="1" x14ac:dyDescent="0.3">
      <c r="AE105" s="60"/>
      <c r="AF105" s="60"/>
      <c r="AG105" s="60"/>
      <c r="AH105" s="60"/>
      <c r="AI105" s="60"/>
      <c r="AL105" s="108">
        <f t="shared" si="36"/>
        <v>142.88000000000008</v>
      </c>
      <c r="AM105" s="71">
        <f t="shared" si="47"/>
        <v>152</v>
      </c>
      <c r="AN105" s="48">
        <f t="shared" si="37"/>
        <v>0</v>
      </c>
      <c r="AO105" s="48">
        <f t="shared" si="38"/>
        <v>-91.453333333332836</v>
      </c>
      <c r="AP105" s="48">
        <f t="shared" si="39"/>
        <v>144.39999999999938</v>
      </c>
      <c r="AQ105" s="48">
        <f t="shared" si="40"/>
        <v>13.933333333333529</v>
      </c>
      <c r="AR105" s="48">
        <f t="shared" si="41"/>
        <v>76</v>
      </c>
      <c r="AV105" s="108">
        <f t="shared" si="57"/>
        <v>3.8696000000000002</v>
      </c>
      <c r="AW105" s="71">
        <f t="shared" si="58"/>
        <v>112</v>
      </c>
      <c r="AX105" s="48">
        <f t="shared" si="50"/>
        <v>0</v>
      </c>
      <c r="AY105" s="48">
        <f t="shared" si="59"/>
        <v>-0.7317333333333319</v>
      </c>
      <c r="AZ105" s="48">
        <f t="shared" si="60"/>
        <v>3.5279999999999978</v>
      </c>
      <c r="BA105" s="48">
        <f t="shared" si="61"/>
        <v>-0.32666666666666627</v>
      </c>
      <c r="BB105" s="48">
        <f t="shared" si="54"/>
        <v>1.4000000000000001</v>
      </c>
      <c r="BG105" s="48">
        <f t="shared" si="62"/>
        <v>4.1999999999999975</v>
      </c>
      <c r="BH105" s="48">
        <f t="shared" si="56"/>
        <v>132</v>
      </c>
      <c r="BI105" s="48">
        <f t="shared" si="42"/>
        <v>0</v>
      </c>
      <c r="BJ105" s="48">
        <f t="shared" si="43"/>
        <v>-3.4941176470584567</v>
      </c>
      <c r="BK105" s="48">
        <f t="shared" si="44"/>
        <v>17.735294117646159</v>
      </c>
      <c r="BL105" s="48">
        <f t="shared" si="45"/>
        <v>-14.682352941175758</v>
      </c>
      <c r="BM105" s="48">
        <f t="shared" si="46"/>
        <v>4.6411764705880518</v>
      </c>
      <c r="BS105" s="60"/>
      <c r="BT105" s="60"/>
      <c r="BU105" s="60"/>
    </row>
    <row r="106" spans="1:73" s="48" customFormat="1" x14ac:dyDescent="0.3">
      <c r="AE106" s="60"/>
      <c r="AF106" s="60"/>
      <c r="AG106" s="60"/>
      <c r="AH106" s="60"/>
      <c r="AI106" s="60"/>
      <c r="AL106" s="108">
        <f t="shared" si="36"/>
        <v>143.23062500000003</v>
      </c>
      <c r="AM106" s="71">
        <f t="shared" si="47"/>
        <v>154</v>
      </c>
      <c r="AN106" s="48">
        <f t="shared" si="37"/>
        <v>0</v>
      </c>
      <c r="AO106" s="48">
        <f t="shared" si="38"/>
        <v>-95.111041666666154</v>
      </c>
      <c r="AP106" s="48">
        <f t="shared" si="39"/>
        <v>148.22499999999934</v>
      </c>
      <c r="AQ106" s="48">
        <f t="shared" si="40"/>
        <v>14.116666666666864</v>
      </c>
      <c r="AR106" s="48">
        <f t="shared" si="41"/>
        <v>76</v>
      </c>
      <c r="AV106" s="108">
        <f t="shared" si="57"/>
        <v>3.9509875000000001</v>
      </c>
      <c r="AW106" s="71">
        <f t="shared" si="58"/>
        <v>114</v>
      </c>
      <c r="AX106" s="48">
        <f t="shared" si="50"/>
        <v>0</v>
      </c>
      <c r="AY106" s="48">
        <f t="shared" si="59"/>
        <v>-0.77163749999999842</v>
      </c>
      <c r="AZ106" s="48">
        <f t="shared" si="60"/>
        <v>3.6551249999999977</v>
      </c>
      <c r="BA106" s="48">
        <f t="shared" si="61"/>
        <v>-0.33249999999999963</v>
      </c>
      <c r="BB106" s="48">
        <f t="shared" si="54"/>
        <v>1.4000000000000001</v>
      </c>
      <c r="BG106" s="48">
        <f t="shared" si="62"/>
        <v>4.2784896086533788</v>
      </c>
      <c r="BH106" s="48">
        <f t="shared" si="56"/>
        <v>133</v>
      </c>
      <c r="BI106" s="48">
        <f t="shared" si="42"/>
        <v>0</v>
      </c>
      <c r="BJ106" s="48">
        <f t="shared" si="43"/>
        <v>-3.5741325352451279</v>
      </c>
      <c r="BK106" s="48">
        <f t="shared" si="44"/>
        <v>18.00502856101027</v>
      </c>
      <c r="BL106" s="48">
        <f t="shared" si="45"/>
        <v>-14.793582887699817</v>
      </c>
      <c r="BM106" s="48">
        <f t="shared" si="46"/>
        <v>4.6411764705880518</v>
      </c>
      <c r="BS106" s="60"/>
      <c r="BT106" s="60"/>
      <c r="BU106" s="60"/>
    </row>
    <row r="107" spans="1:73" x14ac:dyDescent="0.3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L107" s="108">
        <f t="shared" si="36"/>
        <v>143.53500000000008</v>
      </c>
      <c r="AM107" s="71">
        <f t="shared" si="47"/>
        <v>156</v>
      </c>
      <c r="AN107" s="48">
        <f t="shared" si="37"/>
        <v>0</v>
      </c>
      <c r="AO107" s="48">
        <f t="shared" si="38"/>
        <v>-98.864999999999469</v>
      </c>
      <c r="AP107" s="48">
        <f t="shared" si="39"/>
        <v>152.09999999999934</v>
      </c>
      <c r="AQ107" s="48">
        <f t="shared" si="40"/>
        <v>14.3000000000002</v>
      </c>
      <c r="AR107" s="48">
        <f t="shared" si="41"/>
        <v>76</v>
      </c>
      <c r="AV107" s="108">
        <f t="shared" si="57"/>
        <v>4.0331999999999999</v>
      </c>
      <c r="AW107" s="71">
        <f t="shared" si="58"/>
        <v>116</v>
      </c>
      <c r="AX107" s="48">
        <f t="shared" si="50"/>
        <v>0</v>
      </c>
      <c r="AY107" s="48">
        <f t="shared" si="59"/>
        <v>-0.81296666666666506</v>
      </c>
      <c r="AZ107" s="48">
        <f t="shared" si="60"/>
        <v>3.7844999999999973</v>
      </c>
      <c r="BA107" s="48">
        <f t="shared" si="61"/>
        <v>-0.33833333333333293</v>
      </c>
      <c r="BB107" s="48">
        <f t="shared" si="54"/>
        <v>1.4000000000000001</v>
      </c>
      <c r="BG107" s="48">
        <f t="shared" si="62"/>
        <v>4.3578026251823054</v>
      </c>
      <c r="BH107" s="48">
        <f t="shared" si="56"/>
        <v>134</v>
      </c>
      <c r="BI107" s="48">
        <f t="shared" si="42"/>
        <v>0</v>
      </c>
      <c r="BJ107" s="48">
        <f t="shared" si="43"/>
        <v>-3.6553597472042831</v>
      </c>
      <c r="BK107" s="48">
        <f t="shared" si="44"/>
        <v>18.27679873602241</v>
      </c>
      <c r="BL107" s="48">
        <f t="shared" si="45"/>
        <v>-14.904812834223874</v>
      </c>
      <c r="BM107" s="48">
        <f t="shared" si="46"/>
        <v>4.6411764705880518</v>
      </c>
    </row>
    <row r="108" spans="1:73" x14ac:dyDescent="0.3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L108" s="108">
        <f t="shared" si="36"/>
        <v>143.79187500000006</v>
      </c>
      <c r="AM108" s="71">
        <f t="shared" si="47"/>
        <v>158</v>
      </c>
      <c r="AN108" s="48">
        <f t="shared" si="37"/>
        <v>0</v>
      </c>
      <c r="AO108" s="48">
        <f t="shared" si="38"/>
        <v>-102.71645833333278</v>
      </c>
      <c r="AP108" s="48">
        <f t="shared" si="39"/>
        <v>156.02499999999932</v>
      </c>
      <c r="AQ108" s="48">
        <f t="shared" si="40"/>
        <v>14.483333333333537</v>
      </c>
      <c r="AR108" s="48">
        <f t="shared" si="41"/>
        <v>76</v>
      </c>
      <c r="AV108" s="108">
        <f t="shared" si="57"/>
        <v>4.1162124999999996</v>
      </c>
      <c r="AW108" s="71">
        <f t="shared" si="58"/>
        <v>118</v>
      </c>
      <c r="AX108" s="48">
        <f t="shared" si="50"/>
        <v>0</v>
      </c>
      <c r="AY108" s="48">
        <f t="shared" si="59"/>
        <v>-0.85574583333333165</v>
      </c>
      <c r="AZ108" s="48">
        <f t="shared" si="60"/>
        <v>3.9161249999999974</v>
      </c>
      <c r="BA108" s="48">
        <f t="shared" si="61"/>
        <v>-0.34416666666666629</v>
      </c>
      <c r="BB108" s="48">
        <f t="shared" si="54"/>
        <v>1.4000000000000001</v>
      </c>
      <c r="BG108" s="48">
        <f t="shared" si="62"/>
        <v>4.437929934370441</v>
      </c>
      <c r="BH108" s="48">
        <f t="shared" si="56"/>
        <v>135</v>
      </c>
      <c r="BI108" s="48">
        <f t="shared" si="42"/>
        <v>0</v>
      </c>
      <c r="BJ108" s="48">
        <f t="shared" si="43"/>
        <v>-3.7378083981522567</v>
      </c>
      <c r="BK108" s="48">
        <f t="shared" si="44"/>
        <v>18.550604642682579</v>
      </c>
      <c r="BL108" s="48">
        <f t="shared" si="45"/>
        <v>-15.016042780747933</v>
      </c>
      <c r="BM108" s="48">
        <f t="shared" si="46"/>
        <v>4.6411764705880518</v>
      </c>
    </row>
    <row r="109" spans="1:73" x14ac:dyDescent="0.3">
      <c r="A109" s="48"/>
      <c r="B109" s="48"/>
      <c r="C109" s="48"/>
      <c r="D109" s="48"/>
      <c r="E109" s="48"/>
      <c r="F109" s="48"/>
      <c r="G109" s="48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  <c r="X109" s="60"/>
      <c r="Y109" s="60"/>
      <c r="Z109" s="60"/>
      <c r="AA109" s="60"/>
      <c r="AB109" s="60"/>
      <c r="AC109" s="60"/>
      <c r="AL109" s="108">
        <f t="shared" si="36"/>
        <v>144.00000000000006</v>
      </c>
      <c r="AM109" s="71">
        <f t="shared" si="47"/>
        <v>160</v>
      </c>
      <c r="AN109" s="48">
        <f t="shared" si="37"/>
        <v>0</v>
      </c>
      <c r="AO109" s="48">
        <f t="shared" si="38"/>
        <v>-106.66666666666609</v>
      </c>
      <c r="AP109" s="48">
        <f t="shared" si="39"/>
        <v>159.99999999999929</v>
      </c>
      <c r="AQ109" s="48">
        <f t="shared" si="40"/>
        <v>14.666666666666872</v>
      </c>
      <c r="AR109" s="48">
        <f t="shared" si="41"/>
        <v>76</v>
      </c>
      <c r="AV109" s="108">
        <f t="shared" si="57"/>
        <v>4.1999999999999993</v>
      </c>
      <c r="AW109" s="71">
        <f t="shared" si="58"/>
        <v>120</v>
      </c>
      <c r="AX109" s="48">
        <f t="shared" si="50"/>
        <v>0</v>
      </c>
      <c r="AY109" s="48">
        <f t="shared" si="59"/>
        <v>-0.89999999999999825</v>
      </c>
      <c r="AZ109" s="48">
        <f t="shared" si="60"/>
        <v>4.0499999999999972</v>
      </c>
      <c r="BA109" s="48">
        <f t="shared" si="61"/>
        <v>-0.34999999999999959</v>
      </c>
      <c r="BB109" s="48">
        <f t="shared" si="54"/>
        <v>1.4000000000000001</v>
      </c>
      <c r="BG109" s="48">
        <f t="shared" si="62"/>
        <v>4.5188624210014599</v>
      </c>
      <c r="BH109" s="48">
        <f t="shared" si="56"/>
        <v>136</v>
      </c>
      <c r="BI109" s="48">
        <f t="shared" si="42"/>
        <v>0</v>
      </c>
      <c r="BJ109" s="48">
        <f t="shared" si="43"/>
        <v>-3.8214876033053837</v>
      </c>
      <c r="BK109" s="48">
        <f t="shared" si="44"/>
        <v>18.826446280990783</v>
      </c>
      <c r="BL109" s="48">
        <f t="shared" si="45"/>
        <v>-15.127272727271992</v>
      </c>
      <c r="BM109" s="48">
        <f t="shared" si="46"/>
        <v>4.6411764705880518</v>
      </c>
    </row>
    <row r="110" spans="1:73" x14ac:dyDescent="0.3">
      <c r="A110" s="48"/>
      <c r="B110" s="48"/>
      <c r="C110" s="48"/>
      <c r="D110" s="48"/>
      <c r="E110" s="48"/>
      <c r="F110" s="48"/>
      <c r="G110" s="48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60"/>
      <c r="Y110" s="60"/>
      <c r="Z110" s="60"/>
      <c r="AA110" s="60"/>
      <c r="AB110" s="60"/>
      <c r="AC110" s="60"/>
      <c r="AL110" s="108">
        <f t="shared" si="36"/>
        <v>144.15812500000007</v>
      </c>
      <c r="AM110" s="71">
        <f t="shared" si="47"/>
        <v>162</v>
      </c>
      <c r="AN110" s="48">
        <f t="shared" si="37"/>
        <v>0</v>
      </c>
      <c r="AO110" s="48">
        <f t="shared" si="38"/>
        <v>-110.7168749999994</v>
      </c>
      <c r="AP110" s="48">
        <f t="shared" si="39"/>
        <v>164.02499999999927</v>
      </c>
      <c r="AQ110" s="48">
        <f t="shared" si="40"/>
        <v>14.850000000000207</v>
      </c>
      <c r="AR110" s="48">
        <f t="shared" si="41"/>
        <v>76</v>
      </c>
      <c r="AV110" s="108">
        <f t="shared" si="57"/>
        <v>4.284537499999999</v>
      </c>
      <c r="AW110" s="71">
        <f t="shared" si="58"/>
        <v>122</v>
      </c>
      <c r="AX110" s="48">
        <f t="shared" si="50"/>
        <v>0</v>
      </c>
      <c r="AY110" s="48">
        <f t="shared" si="59"/>
        <v>-0.94575416666666479</v>
      </c>
      <c r="AZ110" s="48">
        <f t="shared" si="60"/>
        <v>4.186124999999997</v>
      </c>
      <c r="BA110" s="48">
        <f t="shared" si="61"/>
        <v>-0.35583333333333295</v>
      </c>
      <c r="BB110" s="48">
        <f t="shared" si="54"/>
        <v>1.4000000000000001</v>
      </c>
      <c r="BG110" s="48">
        <f t="shared" si="62"/>
        <v>4.6005909698590202</v>
      </c>
      <c r="BH110" s="48">
        <f t="shared" si="56"/>
        <v>137</v>
      </c>
      <c r="BI110" s="48">
        <f t="shared" si="42"/>
        <v>0</v>
      </c>
      <c r="BJ110" s="48">
        <f t="shared" si="43"/>
        <v>-3.9064064778799983</v>
      </c>
      <c r="BK110" s="48">
        <f t="shared" si="44"/>
        <v>19.104323650947016</v>
      </c>
      <c r="BL110" s="48">
        <f t="shared" si="45"/>
        <v>-15.238502673796051</v>
      </c>
      <c r="BM110" s="48">
        <f t="shared" si="46"/>
        <v>4.6411764705880518</v>
      </c>
    </row>
    <row r="111" spans="1:73" x14ac:dyDescent="0.3">
      <c r="A111" s="48"/>
      <c r="B111" s="48"/>
      <c r="C111" s="48"/>
      <c r="D111" s="48"/>
      <c r="E111" s="48"/>
      <c r="F111" s="48"/>
      <c r="G111" s="48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0"/>
      <c r="X111" s="60"/>
      <c r="Y111" s="60"/>
      <c r="Z111" s="60"/>
      <c r="AA111" s="60"/>
      <c r="AB111" s="60"/>
      <c r="AC111" s="60"/>
      <c r="AL111" s="108">
        <f t="shared" si="36"/>
        <v>144.2650000000001</v>
      </c>
      <c r="AM111" s="71">
        <f t="shared" si="47"/>
        <v>164</v>
      </c>
      <c r="AN111" s="48">
        <f t="shared" si="37"/>
        <v>0</v>
      </c>
      <c r="AO111" s="48">
        <f t="shared" si="38"/>
        <v>-114.86833333333271</v>
      </c>
      <c r="AP111" s="48">
        <f t="shared" si="39"/>
        <v>168.09999999999926</v>
      </c>
      <c r="AQ111" s="48">
        <f t="shared" si="40"/>
        <v>15.033333333333545</v>
      </c>
      <c r="AR111" s="48">
        <f t="shared" si="41"/>
        <v>76</v>
      </c>
      <c r="AV111" s="108">
        <f t="shared" si="57"/>
        <v>4.3697999999999997</v>
      </c>
      <c r="AW111" s="71">
        <f t="shared" si="58"/>
        <v>124</v>
      </c>
      <c r="AX111" s="48">
        <f t="shared" si="50"/>
        <v>0</v>
      </c>
      <c r="AY111" s="48">
        <f t="shared" si="59"/>
        <v>-0.99303333333333133</v>
      </c>
      <c r="AZ111" s="48">
        <f t="shared" si="60"/>
        <v>4.3244999999999969</v>
      </c>
      <c r="BA111" s="48">
        <f t="shared" si="61"/>
        <v>-0.36166666666666625</v>
      </c>
      <c r="BB111" s="48">
        <f t="shared" si="54"/>
        <v>1.4000000000000001</v>
      </c>
      <c r="BG111" s="48">
        <f t="shared" si="62"/>
        <v>4.6831064657267856</v>
      </c>
      <c r="BH111" s="48">
        <f t="shared" si="56"/>
        <v>138</v>
      </c>
      <c r="BI111" s="48">
        <f t="shared" si="42"/>
        <v>0</v>
      </c>
      <c r="BJ111" s="48">
        <f t="shared" si="43"/>
        <v>-3.9925741370924341</v>
      </c>
      <c r="BK111" s="48">
        <f t="shared" si="44"/>
        <v>19.384236752551278</v>
      </c>
      <c r="BL111" s="48">
        <f t="shared" si="45"/>
        <v>-15.349732620320109</v>
      </c>
      <c r="BM111" s="48">
        <f t="shared" si="46"/>
        <v>4.6411764705880518</v>
      </c>
    </row>
    <row r="112" spans="1:73" x14ac:dyDescent="0.3">
      <c r="A112" s="48"/>
      <c r="B112" s="48"/>
      <c r="C112" s="48"/>
      <c r="D112" s="48"/>
      <c r="E112" s="48"/>
      <c r="F112" s="48"/>
      <c r="G112" s="48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  <c r="Z112" s="60"/>
      <c r="AA112" s="60"/>
      <c r="AB112" s="60"/>
      <c r="AC112" s="60"/>
      <c r="AL112" s="108">
        <f t="shared" si="36"/>
        <v>144.31937500000009</v>
      </c>
      <c r="AM112" s="71">
        <f t="shared" si="47"/>
        <v>166</v>
      </c>
      <c r="AN112" s="48">
        <f t="shared" si="37"/>
        <v>0</v>
      </c>
      <c r="AO112" s="48">
        <f t="shared" si="38"/>
        <v>-119.12229166666603</v>
      </c>
      <c r="AP112" s="48">
        <f t="shared" si="39"/>
        <v>172.22499999999926</v>
      </c>
      <c r="AQ112" s="48">
        <f t="shared" si="40"/>
        <v>15.21666666666688</v>
      </c>
      <c r="AR112" s="48">
        <f t="shared" si="41"/>
        <v>76</v>
      </c>
      <c r="AV112" s="108">
        <f t="shared" si="57"/>
        <v>4.4557624999999996</v>
      </c>
      <c r="AW112" s="71">
        <f t="shared" si="58"/>
        <v>126</v>
      </c>
      <c r="AX112" s="48">
        <f t="shared" si="50"/>
        <v>0</v>
      </c>
      <c r="AY112" s="48">
        <f t="shared" si="59"/>
        <v>-1.0418624999999979</v>
      </c>
      <c r="AZ112" s="48">
        <f t="shared" si="60"/>
        <v>4.4651249999999969</v>
      </c>
      <c r="BA112" s="48">
        <f t="shared" si="61"/>
        <v>-0.3674999999999996</v>
      </c>
      <c r="BB112" s="48">
        <f t="shared" si="54"/>
        <v>1.4000000000000001</v>
      </c>
      <c r="BG112" s="48">
        <f t="shared" si="62"/>
        <v>4.7663997933884303</v>
      </c>
      <c r="BH112" s="48">
        <f t="shared" si="56"/>
        <v>139</v>
      </c>
      <c r="BI112" s="48">
        <f t="shared" si="42"/>
        <v>0</v>
      </c>
      <c r="BJ112" s="48">
        <f t="shared" si="43"/>
        <v>-4.0799996961590272</v>
      </c>
      <c r="BK112" s="48">
        <f t="shared" si="44"/>
        <v>19.666185585803575</v>
      </c>
      <c r="BL112" s="48">
        <f t="shared" si="45"/>
        <v>-15.460962566844168</v>
      </c>
      <c r="BM112" s="48">
        <f t="shared" si="46"/>
        <v>4.6411764705880518</v>
      </c>
    </row>
    <row r="113" spans="1:65" x14ac:dyDescent="0.3">
      <c r="A113" s="48"/>
      <c r="B113" s="48"/>
      <c r="C113" s="48"/>
      <c r="D113" s="48"/>
      <c r="E113" s="48"/>
      <c r="F113" s="48"/>
      <c r="G113" s="48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  <c r="AA113" s="60"/>
      <c r="AB113" s="60"/>
      <c r="AC113" s="60"/>
      <c r="AL113" s="108">
        <f t="shared" si="36"/>
        <v>144.32000000000011</v>
      </c>
      <c r="AM113" s="71">
        <f t="shared" si="47"/>
        <v>168</v>
      </c>
      <c r="AN113" s="48">
        <f t="shared" si="37"/>
        <v>0</v>
      </c>
      <c r="AO113" s="48">
        <f t="shared" si="38"/>
        <v>-123.47999999999934</v>
      </c>
      <c r="AP113" s="48">
        <f t="shared" si="39"/>
        <v>176.39999999999924</v>
      </c>
      <c r="AQ113" s="48">
        <f t="shared" si="40"/>
        <v>15.400000000000215</v>
      </c>
      <c r="AR113" s="48">
        <f t="shared" si="41"/>
        <v>76</v>
      </c>
      <c r="AV113" s="108">
        <f t="shared" si="57"/>
        <v>4.5423999999999998</v>
      </c>
      <c r="AW113" s="71">
        <f t="shared" si="58"/>
        <v>128</v>
      </c>
      <c r="AX113" s="48">
        <f t="shared" si="50"/>
        <v>0</v>
      </c>
      <c r="AY113" s="48">
        <f t="shared" si="59"/>
        <v>-1.0922666666666645</v>
      </c>
      <c r="AZ113" s="48">
        <f t="shared" si="60"/>
        <v>4.607999999999997</v>
      </c>
      <c r="BA113" s="48">
        <f t="shared" si="61"/>
        <v>-0.37333333333333291</v>
      </c>
      <c r="BB113" s="48">
        <f t="shared" si="54"/>
        <v>1.4000000000000001</v>
      </c>
      <c r="BG113" s="48">
        <f t="shared" si="62"/>
        <v>4.8504618376276145</v>
      </c>
      <c r="BH113" s="48">
        <f t="shared" si="56"/>
        <v>140</v>
      </c>
      <c r="BI113" s="48">
        <f t="shared" si="42"/>
        <v>0</v>
      </c>
      <c r="BJ113" s="48">
        <f t="shared" si="43"/>
        <v>-4.1686922702961109</v>
      </c>
      <c r="BK113" s="48">
        <f t="shared" si="44"/>
        <v>19.950170150703901</v>
      </c>
      <c r="BL113" s="48">
        <f t="shared" si="45"/>
        <v>-15.572192513368227</v>
      </c>
      <c r="BM113" s="48">
        <f t="shared" si="46"/>
        <v>4.6411764705880518</v>
      </c>
    </row>
    <row r="114" spans="1:65" x14ac:dyDescent="0.3">
      <c r="A114" s="48"/>
      <c r="B114" s="48"/>
      <c r="C114" s="48"/>
      <c r="D114" s="48"/>
      <c r="E114" s="48"/>
      <c r="F114" s="48"/>
      <c r="G114" s="48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60"/>
      <c r="Y114" s="60"/>
      <c r="Z114" s="60"/>
      <c r="AA114" s="60"/>
      <c r="AB114" s="60"/>
      <c r="AC114" s="60"/>
      <c r="AL114" s="108">
        <f t="shared" ref="AL114" si="63">AN114+AO114+AP114+AQ114+AR114</f>
        <v>144.26562500000011</v>
      </c>
      <c r="AM114" s="71">
        <f t="shared" si="47"/>
        <v>170</v>
      </c>
      <c r="AN114" s="48">
        <f t="shared" ref="AN114" si="64">AM114*AM114*AM114*AM114*$AL$19</f>
        <v>0</v>
      </c>
      <c r="AO114" s="48">
        <f t="shared" ref="AO114" si="65">AM114*AM114*AM114*$AM$19</f>
        <v>-127.94270833333265</v>
      </c>
      <c r="AP114" s="48">
        <f t="shared" ref="AP114" si="66">AM114*AM114*$AN$19</f>
        <v>180.6249999999992</v>
      </c>
      <c r="AQ114" s="48">
        <f t="shared" ref="AQ114" si="67">AM114*$AO$19</f>
        <v>15.583333333333552</v>
      </c>
      <c r="AR114" s="48">
        <f t="shared" ref="AR114" si="68">$AP$19</f>
        <v>76</v>
      </c>
      <c r="AV114" s="108">
        <f t="shared" si="57"/>
        <v>4.6296875000000002</v>
      </c>
      <c r="AW114" s="71">
        <f t="shared" si="58"/>
        <v>130</v>
      </c>
      <c r="AX114" s="48">
        <f t="shared" si="50"/>
        <v>0</v>
      </c>
      <c r="AY114" s="48">
        <f t="shared" si="59"/>
        <v>-1.1442708333333311</v>
      </c>
      <c r="AZ114" s="48">
        <f t="shared" si="60"/>
        <v>4.7531249999999972</v>
      </c>
      <c r="BA114" s="48">
        <f t="shared" si="61"/>
        <v>-0.37916666666666621</v>
      </c>
      <c r="BB114" s="48">
        <f t="shared" si="54"/>
        <v>1.4000000000000001</v>
      </c>
      <c r="BG114" s="48">
        <f t="shared" si="62"/>
        <v>4.9352834832280017</v>
      </c>
      <c r="BH114" s="48">
        <f t="shared" si="56"/>
        <v>141</v>
      </c>
      <c r="BI114" s="48">
        <f t="shared" ref="BI114" si="69">BH114*BH114*BH114*BH114*$BG$19</f>
        <v>0</v>
      </c>
      <c r="BJ114" s="48">
        <f t="shared" ref="BJ114" si="70">BH114*BH114*BH114*$BH$19</f>
        <v>-4.2586609747200193</v>
      </c>
      <c r="BK114" s="48">
        <f t="shared" ref="BK114" si="71">BH114*BH114*$BI$19</f>
        <v>20.236190447252255</v>
      </c>
      <c r="BL114" s="48">
        <f t="shared" ref="BL114" si="72">BH114*$BJ$19</f>
        <v>-15.683422459892286</v>
      </c>
      <c r="BM114" s="48">
        <f t="shared" ref="BM114" si="73">$BK$19</f>
        <v>4.6411764705880518</v>
      </c>
    </row>
    <row r="115" spans="1:65" x14ac:dyDescent="0.3">
      <c r="A115" s="48"/>
      <c r="B115" s="48"/>
      <c r="C115" s="48"/>
      <c r="D115" s="48"/>
      <c r="E115" s="48"/>
      <c r="F115" s="48"/>
      <c r="G115" s="48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  <c r="Z115" s="60"/>
      <c r="AA115" s="60"/>
      <c r="AB115" s="60"/>
      <c r="AC115" s="60"/>
    </row>
    <row r="116" spans="1:65" x14ac:dyDescent="0.3">
      <c r="A116" s="48"/>
      <c r="B116" s="48"/>
      <c r="C116" s="48"/>
      <c r="D116" s="48"/>
      <c r="E116" s="48"/>
      <c r="F116" s="48"/>
      <c r="G116" s="48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  <c r="Z116" s="60"/>
      <c r="AA116" s="60"/>
      <c r="AB116" s="60"/>
      <c r="AC116" s="60"/>
    </row>
    <row r="117" spans="1:65" x14ac:dyDescent="0.3">
      <c r="A117" s="48"/>
      <c r="B117" s="48"/>
      <c r="C117" s="48"/>
      <c r="D117" s="48"/>
      <c r="E117" s="48"/>
      <c r="F117" s="48"/>
      <c r="G117" s="48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60"/>
      <c r="Y117" s="60"/>
      <c r="Z117" s="60"/>
      <c r="AA117" s="60"/>
      <c r="AB117" s="60"/>
      <c r="AC117" s="60"/>
    </row>
    <row r="118" spans="1:65" x14ac:dyDescent="0.3">
      <c r="A118" s="48"/>
      <c r="B118" s="48"/>
      <c r="C118" s="48"/>
      <c r="D118" s="48"/>
      <c r="E118" s="48"/>
      <c r="F118" s="48"/>
      <c r="G118" s="48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  <c r="Z118" s="60"/>
      <c r="AA118" s="60"/>
      <c r="AB118" s="60"/>
      <c r="AC118" s="60"/>
    </row>
    <row r="119" spans="1:65" x14ac:dyDescent="0.3">
      <c r="A119" s="48"/>
      <c r="B119" s="48"/>
      <c r="C119" s="48"/>
      <c r="D119" s="48"/>
      <c r="E119" s="48"/>
      <c r="F119" s="48"/>
      <c r="G119" s="48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  <c r="Z119" s="60"/>
      <c r="AA119" s="60"/>
      <c r="AB119" s="60"/>
      <c r="AC119" s="60"/>
    </row>
    <row r="120" spans="1:65" x14ac:dyDescent="0.3">
      <c r="A120" s="48"/>
      <c r="B120" s="48"/>
      <c r="C120" s="48"/>
      <c r="D120" s="48"/>
      <c r="E120" s="48"/>
      <c r="F120" s="48"/>
      <c r="G120" s="48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  <c r="Z120" s="60"/>
      <c r="AA120" s="60"/>
      <c r="AB120" s="60"/>
      <c r="AC120" s="60"/>
    </row>
    <row r="121" spans="1:65" x14ac:dyDescent="0.3">
      <c r="A121" s="48"/>
      <c r="B121" s="48"/>
      <c r="C121" s="48"/>
      <c r="D121" s="48"/>
      <c r="E121" s="48"/>
      <c r="F121" s="48"/>
      <c r="G121" s="48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  <c r="Z121" s="60"/>
      <c r="AA121" s="60"/>
      <c r="AB121" s="60"/>
      <c r="AC121" s="60"/>
    </row>
    <row r="122" spans="1:65" x14ac:dyDescent="0.3">
      <c r="A122" s="48"/>
      <c r="B122" s="48"/>
      <c r="C122" s="48"/>
      <c r="D122" s="48"/>
      <c r="E122" s="48"/>
      <c r="F122" s="48"/>
      <c r="G122" s="48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60"/>
      <c r="Y122" s="60"/>
      <c r="Z122" s="60"/>
      <c r="AA122" s="60"/>
      <c r="AB122" s="60"/>
      <c r="AC122" s="60"/>
    </row>
    <row r="123" spans="1:65" x14ac:dyDescent="0.3">
      <c r="A123" s="48"/>
      <c r="B123" s="48"/>
      <c r="C123" s="48"/>
      <c r="D123" s="48"/>
      <c r="E123" s="48"/>
      <c r="F123" s="48"/>
      <c r="G123" s="48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  <c r="Z123" s="60"/>
      <c r="AA123" s="60"/>
      <c r="AB123" s="60"/>
      <c r="AC123" s="60"/>
    </row>
    <row r="124" spans="1:65" x14ac:dyDescent="0.3">
      <c r="A124" s="48"/>
      <c r="B124" s="48"/>
      <c r="C124" s="48"/>
      <c r="D124" s="48"/>
      <c r="E124" s="48"/>
      <c r="F124" s="48"/>
      <c r="G124" s="48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  <c r="Z124" s="60"/>
      <c r="AA124" s="60"/>
      <c r="AB124" s="60"/>
      <c r="AC124" s="60"/>
    </row>
    <row r="125" spans="1:65" x14ac:dyDescent="0.3">
      <c r="A125" s="48"/>
      <c r="B125" s="48"/>
      <c r="C125" s="48"/>
      <c r="D125" s="48"/>
      <c r="E125" s="48"/>
      <c r="F125" s="48"/>
      <c r="G125" s="48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  <c r="X125" s="60"/>
      <c r="Y125" s="60"/>
      <c r="Z125" s="60"/>
      <c r="AA125" s="60"/>
      <c r="AB125" s="60"/>
      <c r="AC125" s="60"/>
    </row>
    <row r="126" spans="1:65" x14ac:dyDescent="0.3">
      <c r="A126" s="48"/>
      <c r="B126" s="48"/>
      <c r="C126" s="48"/>
      <c r="D126" s="48"/>
      <c r="E126" s="48"/>
      <c r="F126" s="48"/>
      <c r="G126" s="48"/>
    </row>
    <row r="127" spans="1:65" x14ac:dyDescent="0.3">
      <c r="A127" s="48"/>
      <c r="B127" s="48"/>
      <c r="C127" s="48"/>
      <c r="D127" s="48"/>
      <c r="E127" s="48"/>
      <c r="F127" s="48"/>
      <c r="G127" s="48"/>
    </row>
    <row r="128" spans="1:65" x14ac:dyDescent="0.3">
      <c r="A128" s="48"/>
      <c r="B128" s="48"/>
      <c r="C128" s="48"/>
      <c r="D128" s="48"/>
      <c r="E128" s="48"/>
      <c r="F128" s="48"/>
      <c r="G128" s="48"/>
    </row>
    <row r="129" spans="1:7" x14ac:dyDescent="0.3">
      <c r="A129" s="48"/>
      <c r="B129" s="48"/>
      <c r="C129" s="48"/>
      <c r="D129" s="48"/>
      <c r="E129" s="48"/>
      <c r="F129" s="48"/>
      <c r="G129" s="48"/>
    </row>
    <row r="130" spans="1:7" x14ac:dyDescent="0.3">
      <c r="A130" s="48"/>
      <c r="B130" s="48"/>
      <c r="C130" s="48"/>
      <c r="D130" s="48"/>
      <c r="E130" s="48"/>
      <c r="F130" s="48"/>
      <c r="G130" s="48"/>
    </row>
    <row r="131" spans="1:7" x14ac:dyDescent="0.3">
      <c r="A131" s="48"/>
      <c r="B131" s="48"/>
      <c r="C131" s="48"/>
      <c r="D131" s="48"/>
      <c r="E131" s="48"/>
      <c r="F131" s="48"/>
      <c r="G131" s="48"/>
    </row>
    <row r="132" spans="1:7" x14ac:dyDescent="0.3">
      <c r="A132" s="48"/>
      <c r="B132" s="48"/>
      <c r="C132" s="48"/>
      <c r="D132" s="48"/>
      <c r="E132" s="48"/>
      <c r="F132" s="48"/>
      <c r="G132" s="48"/>
    </row>
    <row r="133" spans="1:7" x14ac:dyDescent="0.3">
      <c r="A133" s="48"/>
      <c r="B133" s="48"/>
      <c r="C133" s="48"/>
      <c r="D133" s="48"/>
      <c r="E133" s="48"/>
      <c r="F133" s="48"/>
      <c r="G133" s="48"/>
    </row>
    <row r="134" spans="1:7" x14ac:dyDescent="0.3">
      <c r="A134" s="48"/>
      <c r="B134" s="48"/>
      <c r="C134" s="48"/>
      <c r="D134" s="48"/>
      <c r="E134" s="48"/>
      <c r="F134" s="48"/>
      <c r="G134" s="48"/>
    </row>
    <row r="135" spans="1:7" x14ac:dyDescent="0.3">
      <c r="A135" s="48"/>
      <c r="B135" s="48"/>
      <c r="C135" s="48"/>
      <c r="D135" s="48"/>
      <c r="E135" s="48"/>
      <c r="F135" s="48"/>
      <c r="G135" s="48"/>
    </row>
    <row r="136" spans="1:7" x14ac:dyDescent="0.3">
      <c r="A136" s="48"/>
      <c r="B136" s="48"/>
      <c r="C136" s="48"/>
      <c r="D136" s="48"/>
      <c r="E136" s="48"/>
      <c r="F136" s="48"/>
      <c r="G136" s="48"/>
    </row>
    <row r="137" spans="1:7" x14ac:dyDescent="0.3">
      <c r="A137" s="48"/>
      <c r="B137" s="48"/>
      <c r="C137" s="48"/>
      <c r="D137" s="48"/>
      <c r="E137" s="48"/>
      <c r="F137" s="48"/>
      <c r="G137" s="48"/>
    </row>
    <row r="138" spans="1:7" x14ac:dyDescent="0.3">
      <c r="A138" s="48"/>
      <c r="B138" s="48"/>
      <c r="C138" s="48"/>
      <c r="D138" s="48"/>
      <c r="E138" s="48"/>
      <c r="F138" s="48"/>
      <c r="G138" s="48"/>
    </row>
    <row r="139" spans="1:7" x14ac:dyDescent="0.3">
      <c r="A139" s="48"/>
      <c r="B139" s="48"/>
      <c r="C139" s="48"/>
      <c r="D139" s="48"/>
      <c r="E139" s="48"/>
      <c r="F139" s="48"/>
      <c r="G139" s="48"/>
    </row>
    <row r="140" spans="1:7" x14ac:dyDescent="0.3">
      <c r="A140" s="48"/>
      <c r="B140" s="48"/>
      <c r="C140" s="48"/>
      <c r="D140" s="48"/>
      <c r="E140" s="48"/>
      <c r="F140" s="48"/>
      <c r="G140" s="48"/>
    </row>
    <row r="141" spans="1:7" x14ac:dyDescent="0.3">
      <c r="A141" s="48"/>
      <c r="B141" s="48"/>
      <c r="C141" s="48"/>
      <c r="D141" s="48"/>
      <c r="E141" s="48"/>
      <c r="F141" s="48"/>
      <c r="G141" s="48"/>
    </row>
    <row r="142" spans="1:7" x14ac:dyDescent="0.3">
      <c r="A142" s="48"/>
      <c r="B142" s="48"/>
      <c r="C142" s="48"/>
      <c r="D142" s="48"/>
      <c r="E142" s="48"/>
      <c r="F142" s="48"/>
      <c r="G142" s="48"/>
    </row>
    <row r="143" spans="1:7" x14ac:dyDescent="0.3">
      <c r="A143" s="48"/>
      <c r="B143" s="48"/>
      <c r="C143" s="48"/>
      <c r="D143" s="48"/>
      <c r="E143" s="48"/>
      <c r="F143" s="48"/>
      <c r="G143" s="48"/>
    </row>
    <row r="144" spans="1:7" x14ac:dyDescent="0.3">
      <c r="A144" s="48"/>
      <c r="B144" s="48"/>
      <c r="C144" s="48"/>
      <c r="D144" s="48"/>
      <c r="E144" s="48"/>
      <c r="F144" s="48"/>
      <c r="G144" s="48"/>
    </row>
    <row r="145" spans="1:7" x14ac:dyDescent="0.3">
      <c r="A145" s="48"/>
      <c r="B145" s="48"/>
      <c r="C145" s="48"/>
      <c r="D145" s="48"/>
      <c r="E145" s="48"/>
      <c r="F145" s="48"/>
      <c r="G145" s="48"/>
    </row>
    <row r="169" spans="37:45" x14ac:dyDescent="0.3">
      <c r="AK169" s="48">
        <v>130</v>
      </c>
      <c r="AL169" s="105">
        <f>AK169*AK169</f>
        <v>16900</v>
      </c>
      <c r="AM169" s="105">
        <f>AK169</f>
        <v>130</v>
      </c>
      <c r="AN169" s="105">
        <f>1</f>
        <v>1</v>
      </c>
    </row>
    <row r="170" spans="37:45" x14ac:dyDescent="0.3">
      <c r="AL170" s="105">
        <f>AL19*AL169</f>
        <v>0</v>
      </c>
      <c r="AM170" s="105">
        <f>AM19*AM169</f>
        <v>-3.3854166666666486E-3</v>
      </c>
      <c r="AN170" s="105">
        <f>AN19*AN169</f>
        <v>6.2499999999999726E-3</v>
      </c>
      <c r="AO170" s="85">
        <f>SUM(AL170:AN170)</f>
        <v>2.864583333333324E-3</v>
      </c>
    </row>
    <row r="171" spans="37:45" x14ac:dyDescent="0.3">
      <c r="AS171" s="88"/>
    </row>
    <row r="172" spans="37:45" x14ac:dyDescent="0.3">
      <c r="AO172" s="105"/>
      <c r="AP172" s="85"/>
    </row>
    <row r="173" spans="37:45" x14ac:dyDescent="0.3">
      <c r="AL173" s="72">
        <f>G13</f>
        <v>1.4</v>
      </c>
      <c r="AM173" s="85">
        <f>A13</f>
        <v>0</v>
      </c>
    </row>
    <row r="175" spans="37:45" x14ac:dyDescent="0.3">
      <c r="AN175" s="82"/>
    </row>
    <row r="176" spans="37:45" x14ac:dyDescent="0.3">
      <c r="AL176" s="48" t="s">
        <v>29</v>
      </c>
      <c r="AM176" s="48" t="s">
        <v>39</v>
      </c>
    </row>
    <row r="177" spans="38:45" x14ac:dyDescent="0.3">
      <c r="AL177" s="48" t="s">
        <v>15</v>
      </c>
      <c r="AM177" s="48" t="s">
        <v>28</v>
      </c>
      <c r="AN177" s="48" t="s">
        <v>36</v>
      </c>
      <c r="AO177" s="48" t="s">
        <v>28</v>
      </c>
      <c r="AS177" s="48" t="s">
        <v>37</v>
      </c>
    </row>
    <row r="178" spans="38:45" x14ac:dyDescent="0.3">
      <c r="AL178" s="72">
        <f>G13</f>
        <v>1.4</v>
      </c>
      <c r="AM178" s="85">
        <f>A13</f>
        <v>0</v>
      </c>
      <c r="AN178" s="104">
        <f>$G$22+0.2</f>
        <v>1.5999999999999999</v>
      </c>
      <c r="AO178" s="85">
        <f t="shared" ref="AO178:AO184" si="74">AM178</f>
        <v>0</v>
      </c>
      <c r="AP178" s="48" t="s">
        <v>38</v>
      </c>
      <c r="AQ178" s="48" t="s">
        <v>34</v>
      </c>
      <c r="AR178" s="48" t="s">
        <v>35</v>
      </c>
      <c r="AS178" s="104">
        <f t="shared" ref="AS178:AS184" si="75">AN178+1.5</f>
        <v>3.0999999999999996</v>
      </c>
    </row>
    <row r="179" spans="38:45" x14ac:dyDescent="0.3">
      <c r="AL179" s="72">
        <f>G14</f>
        <v>1.7</v>
      </c>
      <c r="AM179" s="88">
        <f t="shared" ref="AM179:AM184" si="76">IF(A14="",#N/A,A14)</f>
        <v>40</v>
      </c>
      <c r="AN179" s="104">
        <f>$G$22+0.2</f>
        <v>1.5999999999999999</v>
      </c>
      <c r="AO179" s="88">
        <f t="shared" si="74"/>
        <v>40</v>
      </c>
      <c r="AP179" s="131">
        <f t="shared" ref="AP179:AP184" si="77">AL179</f>
        <v>1.7</v>
      </c>
      <c r="AQ179" s="48">
        <f t="shared" ref="AQ179:AQ184" si="78">AP179*AP179</f>
        <v>2.8899999999999997</v>
      </c>
      <c r="AR179" s="48">
        <f t="shared" ref="AR179:AR184" si="79">AQ179*AP179</f>
        <v>4.9129999999999994</v>
      </c>
      <c r="AS179" s="104">
        <f t="shared" si="75"/>
        <v>3.0999999999999996</v>
      </c>
    </row>
    <row r="180" spans="38:45" x14ac:dyDescent="0.3">
      <c r="AL180" s="72">
        <f>IF(A15="",#N/A,G15)</f>
        <v>2.7</v>
      </c>
      <c r="AM180" s="88">
        <f t="shared" si="76"/>
        <v>80</v>
      </c>
      <c r="AN180" s="104">
        <f>$G$22+0.2</f>
        <v>1.5999999999999999</v>
      </c>
      <c r="AO180" s="88">
        <f t="shared" si="74"/>
        <v>80</v>
      </c>
      <c r="AP180" s="131">
        <f t="shared" si="77"/>
        <v>2.7</v>
      </c>
      <c r="AQ180" s="48">
        <f t="shared" si="78"/>
        <v>7.2900000000000009</v>
      </c>
      <c r="AR180" s="48">
        <f t="shared" si="79"/>
        <v>19.683000000000003</v>
      </c>
      <c r="AS180" s="104">
        <f t="shared" si="75"/>
        <v>3.0999999999999996</v>
      </c>
    </row>
    <row r="181" spans="38:45" x14ac:dyDescent="0.3">
      <c r="AL181" s="72">
        <f>IF(A16="",#N/A,G16)</f>
        <v>4.2</v>
      </c>
      <c r="AM181" s="88">
        <f t="shared" si="76"/>
        <v>120</v>
      </c>
      <c r="AN181" s="104">
        <f>$G$22+0.2</f>
        <v>1.5999999999999999</v>
      </c>
      <c r="AO181" s="88">
        <f t="shared" si="74"/>
        <v>120</v>
      </c>
      <c r="AP181" s="131">
        <f t="shared" si="77"/>
        <v>4.2</v>
      </c>
      <c r="AQ181" s="48">
        <f t="shared" si="78"/>
        <v>17.64</v>
      </c>
      <c r="AR181" s="48">
        <f t="shared" si="79"/>
        <v>74.088000000000008</v>
      </c>
      <c r="AS181" s="104">
        <f t="shared" si="75"/>
        <v>3.0999999999999996</v>
      </c>
    </row>
    <row r="182" spans="38:45" x14ac:dyDescent="0.3">
      <c r="AL182" s="72" t="e">
        <f>IF(A17="",#N/A,G17)</f>
        <v>#N/A</v>
      </c>
      <c r="AM182" s="88" t="e">
        <f t="shared" si="76"/>
        <v>#N/A</v>
      </c>
      <c r="AN182" s="104" t="e">
        <f>IF(A17="",#N/A,$G$22+0.2)</f>
        <v>#N/A</v>
      </c>
      <c r="AO182" s="88" t="e">
        <f t="shared" si="74"/>
        <v>#N/A</v>
      </c>
      <c r="AP182" s="131" t="e">
        <f t="shared" si="77"/>
        <v>#N/A</v>
      </c>
      <c r="AQ182" s="48" t="e">
        <f t="shared" si="78"/>
        <v>#N/A</v>
      </c>
      <c r="AR182" s="48" t="e">
        <f t="shared" si="79"/>
        <v>#N/A</v>
      </c>
      <c r="AS182" s="104" t="e">
        <f t="shared" si="75"/>
        <v>#N/A</v>
      </c>
    </row>
    <row r="183" spans="38:45" x14ac:dyDescent="0.3">
      <c r="AL183" s="72" t="e">
        <f>IF(A18="",#N/A,G18)</f>
        <v>#N/A</v>
      </c>
      <c r="AM183" s="88" t="e">
        <f t="shared" si="76"/>
        <v>#N/A</v>
      </c>
      <c r="AN183" s="104" t="e">
        <f>IF(A18="",#N/A,$G$22+0.2)</f>
        <v>#N/A</v>
      </c>
      <c r="AO183" s="88" t="e">
        <f t="shared" si="74"/>
        <v>#N/A</v>
      </c>
      <c r="AP183" s="131" t="e">
        <f t="shared" si="77"/>
        <v>#N/A</v>
      </c>
      <c r="AQ183" s="48" t="e">
        <f t="shared" si="78"/>
        <v>#N/A</v>
      </c>
      <c r="AR183" s="48" t="e">
        <f t="shared" si="79"/>
        <v>#N/A</v>
      </c>
      <c r="AS183" s="104" t="e">
        <f t="shared" si="75"/>
        <v>#N/A</v>
      </c>
    </row>
    <row r="184" spans="38:45" x14ac:dyDescent="0.3">
      <c r="AL184" s="72" t="e">
        <f>IF(A19="",#N/A,G19)</f>
        <v>#N/A</v>
      </c>
      <c r="AM184" s="88" t="e">
        <f t="shared" si="76"/>
        <v>#N/A</v>
      </c>
      <c r="AN184" s="104" t="e">
        <f>IF(A19="",#N/A,$G$22+0.2)</f>
        <v>#N/A</v>
      </c>
      <c r="AO184" s="88" t="e">
        <f t="shared" si="74"/>
        <v>#N/A</v>
      </c>
      <c r="AP184" s="131" t="e">
        <f t="shared" si="77"/>
        <v>#N/A</v>
      </c>
      <c r="AQ184" s="48" t="e">
        <f t="shared" si="78"/>
        <v>#N/A</v>
      </c>
      <c r="AR184" s="48" t="e">
        <f t="shared" si="79"/>
        <v>#N/A</v>
      </c>
      <c r="AS184" s="104" t="e">
        <f t="shared" si="75"/>
        <v>#N/A</v>
      </c>
    </row>
    <row r="185" spans="38:45" x14ac:dyDescent="0.3">
      <c r="AL185" s="72"/>
    </row>
    <row r="186" spans="38:45" x14ac:dyDescent="0.3">
      <c r="AL186" s="48">
        <v>3</v>
      </c>
      <c r="AM186" s="105">
        <f t="array" ref="AM186:AO186">LINEST(AO179:AO180,AP179:AQ180)</f>
        <v>9.0909090909090882</v>
      </c>
      <c r="AN186" s="105">
        <v>0</v>
      </c>
      <c r="AO186" s="105">
        <v>13.727272727272741</v>
      </c>
      <c r="AP186" s="105"/>
    </row>
    <row r="187" spans="38:45" x14ac:dyDescent="0.3">
      <c r="AL187" s="48">
        <v>4</v>
      </c>
      <c r="AM187" s="105">
        <f t="array" ref="AM187:AO187">LINEST(AO179:AO181,AP179:AQ181)</f>
        <v>-5.3333333333333268</v>
      </c>
      <c r="AN187" s="105">
        <v>63.466666666666612</v>
      </c>
      <c r="AO187" s="105">
        <v>-52.47999999999994</v>
      </c>
      <c r="AP187" s="105"/>
    </row>
    <row r="188" spans="38:45" x14ac:dyDescent="0.3">
      <c r="AL188" s="48">
        <v>5</v>
      </c>
      <c r="AM188" s="105" t="e">
        <f t="array" ref="AM188:AO188">LINEST(AO179:AO182,AP179:AQ182)</f>
        <v>#VALUE!</v>
      </c>
      <c r="AN188" s="105" t="e">
        <v>#VALUE!</v>
      </c>
      <c r="AO188" s="105" t="e">
        <v>#VALUE!</v>
      </c>
      <c r="AP188" s="105"/>
    </row>
    <row r="189" spans="38:45" x14ac:dyDescent="0.3">
      <c r="AL189" s="48">
        <v>6</v>
      </c>
      <c r="AM189" s="105" t="e">
        <f t="array" ref="AM189:AO189">LINEST(AO179:AO183,AP179:AQ183)</f>
        <v>#VALUE!</v>
      </c>
      <c r="AN189" s="105" t="e">
        <v>#VALUE!</v>
      </c>
      <c r="AO189" s="105" t="e">
        <v>#VALUE!</v>
      </c>
      <c r="AP189" s="105"/>
    </row>
    <row r="190" spans="38:45" x14ac:dyDescent="0.3">
      <c r="AL190" s="48">
        <v>7</v>
      </c>
      <c r="AM190" s="105" t="e">
        <f t="array" ref="AM190:AO190">LINEST(AO179:AO184,AP179:AQ184)</f>
        <v>#VALUE!</v>
      </c>
      <c r="AN190" s="105" t="e">
        <v>#VALUE!</v>
      </c>
      <c r="AO190" s="105" t="e">
        <v>#VALUE!</v>
      </c>
      <c r="AP190" s="132"/>
    </row>
    <row r="193" spans="38:45" x14ac:dyDescent="0.3">
      <c r="AM193" s="48">
        <f>VLOOKUP($A$23,$AL$186:$AP$190,2)</f>
        <v>-5.3333333333333268</v>
      </c>
      <c r="AN193" s="48">
        <f>VLOOKUP($A$23,$AL$186:$AP$190,3)</f>
        <v>63.466666666666612</v>
      </c>
      <c r="AO193" s="48">
        <f>VLOOKUP($A$23,$AL$186:$AP$190,4)</f>
        <v>-52.47999999999994</v>
      </c>
    </row>
    <row r="194" spans="38:45" x14ac:dyDescent="0.3">
      <c r="AM194" s="48">
        <f>AN179*AN179</f>
        <v>2.5599999999999996</v>
      </c>
      <c r="AN194" s="104">
        <f>AN179</f>
        <v>1.5999999999999999</v>
      </c>
      <c r="AO194" s="104">
        <v>1</v>
      </c>
    </row>
    <row r="195" spans="38:45" x14ac:dyDescent="0.3">
      <c r="AM195" s="48">
        <f>AM193*AM194</f>
        <v>-13.653333333333315</v>
      </c>
      <c r="AN195" s="48">
        <f>AN193*AN194</f>
        <v>101.54666666666657</v>
      </c>
      <c r="AO195" s="48">
        <f>AO193*AO194</f>
        <v>-52.47999999999994</v>
      </c>
      <c r="AQ195" s="85">
        <f>SUM(AM195:AP195)</f>
        <v>35.41333333333332</v>
      </c>
    </row>
    <row r="196" spans="38:45" x14ac:dyDescent="0.3">
      <c r="AM196" s="48">
        <f>AS179*AS179</f>
        <v>9.6099999999999977</v>
      </c>
      <c r="AN196" s="104">
        <f>AS179</f>
        <v>3.0999999999999996</v>
      </c>
      <c r="AO196" s="104">
        <v>1</v>
      </c>
      <c r="AQ196" s="85"/>
    </row>
    <row r="197" spans="38:45" x14ac:dyDescent="0.3">
      <c r="AM197" s="48">
        <f>AM196*AM193</f>
        <v>-51.253333333333259</v>
      </c>
      <c r="AN197" s="48">
        <f>AN196*AN193</f>
        <v>196.74666666666647</v>
      </c>
      <c r="AO197" s="48">
        <f>AO196*AO193</f>
        <v>-52.47999999999994</v>
      </c>
      <c r="AQ197" s="85">
        <f>SUM(AM197:AP197)</f>
        <v>93.013333333333293</v>
      </c>
    </row>
    <row r="201" spans="38:45" x14ac:dyDescent="0.3">
      <c r="AL201" s="48" t="s">
        <v>29</v>
      </c>
      <c r="AM201" s="48" t="s">
        <v>32</v>
      </c>
    </row>
    <row r="202" spans="38:45" x14ac:dyDescent="0.3">
      <c r="AL202" s="48" t="s">
        <v>15</v>
      </c>
      <c r="AM202" s="48" t="s">
        <v>32</v>
      </c>
      <c r="AN202" s="48" t="s">
        <v>36</v>
      </c>
      <c r="AS202" s="48" t="s">
        <v>37</v>
      </c>
    </row>
    <row r="203" spans="38:45" x14ac:dyDescent="0.3">
      <c r="AL203" s="72">
        <f>G13</f>
        <v>1.4</v>
      </c>
      <c r="AM203" s="82">
        <f>E13</f>
        <v>76</v>
      </c>
      <c r="AN203" s="104">
        <f t="shared" ref="AN203:AN209" si="80">$G$22+0.2</f>
        <v>1.5999999999999999</v>
      </c>
      <c r="AO203" s="48" t="s">
        <v>28</v>
      </c>
      <c r="AP203" s="48" t="s">
        <v>38</v>
      </c>
      <c r="AQ203" s="48" t="s">
        <v>34</v>
      </c>
      <c r="AR203" s="48" t="s">
        <v>35</v>
      </c>
      <c r="AS203" s="104">
        <f t="shared" ref="AS203:AS209" si="81">AN203+1.5</f>
        <v>3.0999999999999996</v>
      </c>
    </row>
    <row r="204" spans="38:45" x14ac:dyDescent="0.3">
      <c r="AL204" s="72">
        <f>G14</f>
        <v>1.7</v>
      </c>
      <c r="AM204" s="82">
        <f t="shared" ref="AM204:AM209" si="82">IF(A14="",#N/A,E14)</f>
        <v>88</v>
      </c>
      <c r="AN204" s="104">
        <f t="shared" si="80"/>
        <v>1.5999999999999999</v>
      </c>
      <c r="AO204" s="82">
        <f t="shared" ref="AO204:AO209" si="83">AM204</f>
        <v>88</v>
      </c>
      <c r="AP204" s="131">
        <f t="shared" ref="AP204:AP209" si="84">AL204</f>
        <v>1.7</v>
      </c>
      <c r="AQ204" s="48">
        <f t="shared" ref="AQ204:AQ209" si="85">AP204*AP204</f>
        <v>2.8899999999999997</v>
      </c>
      <c r="AR204" s="48">
        <f t="shared" ref="AR204:AR209" si="86">AQ204*AP204</f>
        <v>4.9129999999999994</v>
      </c>
      <c r="AS204" s="104">
        <f t="shared" si="81"/>
        <v>3.0999999999999996</v>
      </c>
    </row>
    <row r="205" spans="38:45" x14ac:dyDescent="0.3">
      <c r="AL205" s="72">
        <f>IF(A15="",#N/A,G15)</f>
        <v>2.7</v>
      </c>
      <c r="AM205" s="82">
        <f t="shared" si="82"/>
        <v>110</v>
      </c>
      <c r="AN205" s="104">
        <f t="shared" si="80"/>
        <v>1.5999999999999999</v>
      </c>
      <c r="AO205" s="82">
        <f t="shared" si="83"/>
        <v>110</v>
      </c>
      <c r="AP205" s="131">
        <f t="shared" si="84"/>
        <v>2.7</v>
      </c>
      <c r="AQ205" s="48">
        <f t="shared" si="85"/>
        <v>7.2900000000000009</v>
      </c>
      <c r="AR205" s="48">
        <f t="shared" si="86"/>
        <v>19.683000000000003</v>
      </c>
      <c r="AS205" s="104">
        <f t="shared" si="81"/>
        <v>3.0999999999999996</v>
      </c>
    </row>
    <row r="206" spans="38:45" x14ac:dyDescent="0.3">
      <c r="AL206" s="72">
        <f>IF(A16="",#N/A,G16)</f>
        <v>4.2</v>
      </c>
      <c r="AM206" s="82">
        <f t="shared" si="82"/>
        <v>132</v>
      </c>
      <c r="AN206" s="104">
        <f t="shared" si="80"/>
        <v>1.5999999999999999</v>
      </c>
      <c r="AO206" s="82">
        <f t="shared" si="83"/>
        <v>132</v>
      </c>
      <c r="AP206" s="131">
        <f t="shared" si="84"/>
        <v>4.2</v>
      </c>
      <c r="AQ206" s="48">
        <f t="shared" si="85"/>
        <v>17.64</v>
      </c>
      <c r="AR206" s="48">
        <f t="shared" si="86"/>
        <v>74.088000000000008</v>
      </c>
      <c r="AS206" s="104">
        <f t="shared" si="81"/>
        <v>3.0999999999999996</v>
      </c>
    </row>
    <row r="207" spans="38:45" x14ac:dyDescent="0.3">
      <c r="AL207" s="72" t="e">
        <f>IF(A17="",#N/A,G17)</f>
        <v>#N/A</v>
      </c>
      <c r="AM207" s="82" t="e">
        <f t="shared" si="82"/>
        <v>#N/A</v>
      </c>
      <c r="AN207" s="104">
        <f t="shared" si="80"/>
        <v>1.5999999999999999</v>
      </c>
      <c r="AO207" s="82" t="e">
        <f t="shared" si="83"/>
        <v>#N/A</v>
      </c>
      <c r="AP207" s="131" t="e">
        <f t="shared" si="84"/>
        <v>#N/A</v>
      </c>
      <c r="AQ207" s="48" t="e">
        <f t="shared" si="85"/>
        <v>#N/A</v>
      </c>
      <c r="AR207" s="48" t="e">
        <f t="shared" si="86"/>
        <v>#N/A</v>
      </c>
      <c r="AS207" s="104">
        <f t="shared" si="81"/>
        <v>3.0999999999999996</v>
      </c>
    </row>
    <row r="208" spans="38:45" x14ac:dyDescent="0.3">
      <c r="AL208" s="72" t="e">
        <f>IF(A18="",#N/A,G18)</f>
        <v>#N/A</v>
      </c>
      <c r="AM208" s="82" t="e">
        <f t="shared" si="82"/>
        <v>#N/A</v>
      </c>
      <c r="AN208" s="104">
        <f t="shared" si="80"/>
        <v>1.5999999999999999</v>
      </c>
      <c r="AO208" s="82" t="e">
        <f t="shared" si="83"/>
        <v>#N/A</v>
      </c>
      <c r="AP208" s="131" t="e">
        <f t="shared" si="84"/>
        <v>#N/A</v>
      </c>
      <c r="AQ208" s="48" t="e">
        <f t="shared" si="85"/>
        <v>#N/A</v>
      </c>
      <c r="AR208" s="48" t="e">
        <f t="shared" si="86"/>
        <v>#N/A</v>
      </c>
      <c r="AS208" s="104">
        <f t="shared" si="81"/>
        <v>3.0999999999999996</v>
      </c>
    </row>
    <row r="209" spans="37:45" x14ac:dyDescent="0.3">
      <c r="AL209" s="72" t="e">
        <f>IF(A19="",#N/A,G19)</f>
        <v>#N/A</v>
      </c>
      <c r="AM209" s="82" t="e">
        <f t="shared" si="82"/>
        <v>#N/A</v>
      </c>
      <c r="AN209" s="104">
        <f t="shared" si="80"/>
        <v>1.5999999999999999</v>
      </c>
      <c r="AO209" s="82" t="e">
        <f t="shared" si="83"/>
        <v>#N/A</v>
      </c>
      <c r="AP209" s="131" t="e">
        <f t="shared" si="84"/>
        <v>#N/A</v>
      </c>
      <c r="AQ209" s="48" t="e">
        <f t="shared" si="85"/>
        <v>#N/A</v>
      </c>
      <c r="AR209" s="48" t="e">
        <f t="shared" si="86"/>
        <v>#N/A</v>
      </c>
      <c r="AS209" s="104">
        <f t="shared" si="81"/>
        <v>3.0999999999999996</v>
      </c>
    </row>
    <row r="210" spans="37:45" x14ac:dyDescent="0.3">
      <c r="AK210" s="48" t="s">
        <v>40</v>
      </c>
      <c r="AL210" s="72"/>
    </row>
    <row r="211" spans="37:45" x14ac:dyDescent="0.3">
      <c r="AL211" s="48">
        <v>3</v>
      </c>
      <c r="AM211" s="105">
        <f t="array" ref="AM211:AO211">LINEST(AO204:AO205,AP204:AQ205)</f>
        <v>4.9999999999999982</v>
      </c>
      <c r="AN211" s="105">
        <v>0</v>
      </c>
      <c r="AO211" s="105">
        <v>73.550000000000011</v>
      </c>
      <c r="AP211" s="105"/>
    </row>
    <row r="212" spans="37:45" x14ac:dyDescent="0.3">
      <c r="AL212" s="48">
        <v>4</v>
      </c>
      <c r="AM212" s="105">
        <f t="array" ref="AM212:AO212">LINEST(AO204:AO206,AP204:AQ206)</f>
        <v>-2.93333333333333</v>
      </c>
      <c r="AN212" s="105">
        <v>34.906666666666638</v>
      </c>
      <c r="AO212" s="105">
        <v>37.136000000000038</v>
      </c>
      <c r="AP212" s="105"/>
    </row>
    <row r="213" spans="37:45" x14ac:dyDescent="0.3">
      <c r="AL213" s="48">
        <v>5</v>
      </c>
      <c r="AM213" s="105" t="e">
        <f t="array" ref="AM213:AO213">LINEST(AO204:AO207,AP204:AQ207)</f>
        <v>#VALUE!</v>
      </c>
      <c r="AN213" s="105" t="e">
        <v>#VALUE!</v>
      </c>
      <c r="AO213" s="105" t="e">
        <v>#VALUE!</v>
      </c>
      <c r="AP213" s="105"/>
    </row>
    <row r="214" spans="37:45" x14ac:dyDescent="0.3">
      <c r="AL214" s="48">
        <v>6</v>
      </c>
      <c r="AM214" s="105" t="e">
        <f t="array" ref="AM214:AO214">LINEST(AO204:AO208,AP204:AQ208)</f>
        <v>#VALUE!</v>
      </c>
      <c r="AN214" s="105" t="e">
        <v>#VALUE!</v>
      </c>
      <c r="AO214" s="105" t="e">
        <v>#VALUE!</v>
      </c>
      <c r="AP214" s="105"/>
    </row>
    <row r="215" spans="37:45" x14ac:dyDescent="0.3">
      <c r="AL215" s="48">
        <v>7</v>
      </c>
      <c r="AM215" s="105" t="e">
        <f t="array" ref="AM215:AO215">LINEST(AO204:AO209,AP204:AQ209)</f>
        <v>#VALUE!</v>
      </c>
      <c r="AN215" s="105" t="e">
        <v>#VALUE!</v>
      </c>
      <c r="AO215" s="105" t="e">
        <v>#VALUE!</v>
      </c>
      <c r="AP215" s="132"/>
    </row>
    <row r="218" spans="37:45" x14ac:dyDescent="0.3">
      <c r="AM218" s="48">
        <f>VLOOKUP($A$23,$AL$211:$AP$215,2)</f>
        <v>-2.93333333333333</v>
      </c>
      <c r="AN218" s="48">
        <f>VLOOKUP($A$23,$AL$211:$AP$215,3)</f>
        <v>34.906666666666638</v>
      </c>
      <c r="AO218" s="48">
        <f>VLOOKUP($A$23,$AL$211:$AP$215,4)</f>
        <v>37.136000000000038</v>
      </c>
      <c r="AP218" s="48">
        <f>VLOOKUP($A$23,$AL$211:$AP$215,5)</f>
        <v>0</v>
      </c>
    </row>
    <row r="219" spans="37:45" x14ac:dyDescent="0.3">
      <c r="AM219" s="48">
        <f>AN204*AN204</f>
        <v>2.5599999999999996</v>
      </c>
      <c r="AN219" s="104">
        <f>AN204</f>
        <v>1.5999999999999999</v>
      </c>
      <c r="AO219" s="104">
        <v>1</v>
      </c>
      <c r="AP219" s="48">
        <v>1</v>
      </c>
    </row>
    <row r="220" spans="37:45" x14ac:dyDescent="0.3">
      <c r="AM220" s="48">
        <f>AM218*AM219</f>
        <v>-7.5093333333333234</v>
      </c>
      <c r="AN220" s="48">
        <f>AN218*AN219</f>
        <v>55.850666666666619</v>
      </c>
      <c r="AO220" s="48">
        <f>AO218*AO219</f>
        <v>37.136000000000038</v>
      </c>
      <c r="AP220" s="48">
        <f>AP218*AP219</f>
        <v>0</v>
      </c>
      <c r="AQ220" s="85">
        <f>SUM(AM220:AO220)</f>
        <v>85.477333333333334</v>
      </c>
    </row>
    <row r="221" spans="37:45" x14ac:dyDescent="0.3">
      <c r="AM221" s="48">
        <f>AS204*AS204</f>
        <v>9.6099999999999977</v>
      </c>
      <c r="AN221" s="104">
        <f>AS204</f>
        <v>3.0999999999999996</v>
      </c>
      <c r="AO221" s="104">
        <v>1</v>
      </c>
      <c r="AP221" s="48">
        <v>1</v>
      </c>
      <c r="AQ221" s="85"/>
    </row>
    <row r="222" spans="37:45" x14ac:dyDescent="0.3">
      <c r="AM222" s="48">
        <f>AM221*AM218</f>
        <v>-28.189333333333295</v>
      </c>
      <c r="AN222" s="48">
        <f>AN221*AN218</f>
        <v>108.21066666666657</v>
      </c>
      <c r="AO222" s="48">
        <f>AO221*AO218</f>
        <v>37.136000000000038</v>
      </c>
      <c r="AP222" s="48">
        <f>AP221*AP218</f>
        <v>0</v>
      </c>
      <c r="AQ222" s="85">
        <f>SUM(AM222:AO222)</f>
        <v>117.15733333333331</v>
      </c>
    </row>
  </sheetData>
  <sheetProtection algorithmName="SHA-512" hashValue="uJTf3ePZgUOACBMVS1i1DctIXnpXWvV8WGvNdR4ns86w9q3sKj0EZjYj8GxTay/iFlBgchhz89v8E+WnyzRY+w==" saltValue="pWjAzEJZVd7IZ6bTxwZU+Q==" spinCount="100000" sheet="1" selectLockedCells="1"/>
  <mergeCells count="2">
    <mergeCell ref="A1:B1"/>
    <mergeCell ref="A47:C47"/>
  </mergeCells>
  <conditionalFormatting sqref="E16:E21">
    <cfRule type="containsErrors" dxfId="8" priority="7">
      <formula>ISERROR(E16)</formula>
    </cfRule>
  </conditionalFormatting>
  <conditionalFormatting sqref="C13:C21">
    <cfRule type="containsErrors" dxfId="7" priority="6">
      <formula>ISERROR(C13)</formula>
    </cfRule>
  </conditionalFormatting>
  <conditionalFormatting sqref="F13:F21">
    <cfRule type="containsErrors" dxfId="6" priority="1">
      <formula>ISERROR(F13)</formula>
    </cfRule>
    <cfRule type="containsErrors" dxfId="5" priority="5">
      <formula>ISERROR(F13)</formula>
    </cfRule>
  </conditionalFormatting>
  <conditionalFormatting sqref="G12:G21">
    <cfRule type="containsErrors" dxfId="4" priority="3">
      <formula>ISERROR(G12)</formula>
    </cfRule>
  </conditionalFormatting>
  <conditionalFormatting sqref="C13:C22">
    <cfRule type="containsErrors" dxfId="3" priority="2">
      <formula>ISERROR(C13)</formula>
    </cfRule>
  </conditionalFormatting>
  <printOptions horizontalCentered="1"/>
  <pageMargins left="0.78740157480314965" right="0.78740157480314965" top="1.1811023622047245" bottom="0.78740157480314965" header="0.31496062992125984" footer="0.31496062992125984"/>
  <pageSetup paperSize="9" orientation="portrait" horizontalDpi="360" verticalDpi="360" r:id="rId1"/>
  <ignoredErrors>
    <ignoredError sqref="C21 C19:C20 E21:F21 E19:F20 E22:G22 E18:F18" evalErro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50"/>
  <sheetViews>
    <sheetView view="pageLayout" topLeftCell="A19" zoomScaleNormal="100" workbookViewId="0">
      <selection activeCell="E6" sqref="E6"/>
    </sheetView>
  </sheetViews>
  <sheetFormatPr baseColWidth="10" defaultColWidth="10.44140625" defaultRowHeight="14.4" x14ac:dyDescent="0.3"/>
  <cols>
    <col min="1" max="2" width="10.5546875" style="10" customWidth="1"/>
    <col min="3" max="6" width="10.44140625" style="10"/>
    <col min="7" max="8" width="10.5546875" style="10" customWidth="1"/>
    <col min="9" max="16384" width="10.44140625" style="10"/>
  </cols>
  <sheetData>
    <row r="1" spans="1:8" ht="23.4" x14ac:dyDescent="0.45">
      <c r="A1" s="59" t="s">
        <v>17</v>
      </c>
      <c r="C1" s="15" t="s">
        <v>51</v>
      </c>
    </row>
    <row r="2" spans="1:8" ht="23.25" customHeight="1" x14ac:dyDescent="0.3">
      <c r="A2" s="8" t="s">
        <v>0</v>
      </c>
      <c r="B2" s="65" t="str">
        <f>IF(Start!C3="","",Start!C3)</f>
        <v>Name</v>
      </c>
      <c r="C2" s="2"/>
      <c r="E2" s="13"/>
      <c r="F2" s="13"/>
      <c r="G2" s="25"/>
    </row>
    <row r="3" spans="1:8" x14ac:dyDescent="0.3">
      <c r="A3" s="8" t="s">
        <v>2</v>
      </c>
      <c r="B3" s="65" t="str">
        <f>IF(Start!C4="","",Start!C4)</f>
        <v>Vorname</v>
      </c>
    </row>
    <row r="4" spans="1:8" ht="14.1" customHeight="1" x14ac:dyDescent="0.3">
      <c r="A4" s="10" t="s">
        <v>4</v>
      </c>
      <c r="B4" s="17">
        <f>IF(Start!C6="","",Start!C6)</f>
        <v>23133</v>
      </c>
      <c r="C4" s="13" t="s">
        <v>5</v>
      </c>
      <c r="D4" s="13" t="str">
        <f>IF(Start!C5="","",Start!C5)</f>
        <v>w</v>
      </c>
      <c r="E4" s="13" t="s">
        <v>46</v>
      </c>
      <c r="F4" s="54">
        <f>IF(Start!C8="","",Start!C8)</f>
        <v>157</v>
      </c>
    </row>
    <row r="5" spans="1:8" ht="14.1" customHeight="1" x14ac:dyDescent="0.3">
      <c r="A5" s="92" t="s">
        <v>1</v>
      </c>
      <c r="B5" s="100" t="s">
        <v>8</v>
      </c>
      <c r="C5" s="92" t="s">
        <v>7</v>
      </c>
      <c r="D5" s="26"/>
      <c r="E5" s="13"/>
      <c r="F5" s="13"/>
      <c r="G5" s="13"/>
    </row>
    <row r="6" spans="1:8" ht="14.1" customHeight="1" x14ac:dyDescent="0.3">
      <c r="A6" s="101">
        <f>IF(Start!C2="","",Start!C2)</f>
        <v>43539</v>
      </c>
      <c r="B6" s="102">
        <f>IF(A6="","",(A6-Laktat!B4)/365)</f>
        <v>55.906849315068492</v>
      </c>
      <c r="C6" s="103">
        <f>'Test 1'!B9</f>
        <v>83</v>
      </c>
      <c r="D6" s="92" t="s">
        <v>52</v>
      </c>
      <c r="E6" s="96">
        <f>'Test 1'!$AS$17</f>
        <v>114</v>
      </c>
      <c r="F6" s="97" t="s">
        <v>17</v>
      </c>
      <c r="G6" s="98">
        <f>IF(E6="","",IF(A6="","",E6/C6))</f>
        <v>1.3734939759036144</v>
      </c>
    </row>
    <row r="7" spans="1:8" ht="14.1" customHeight="1" x14ac:dyDescent="0.3"/>
    <row r="8" spans="1:8" ht="14.1" customHeight="1" x14ac:dyDescent="0.3">
      <c r="F8" s="99"/>
      <c r="G8" s="68">
        <f>IF(B6&lt;30,30.1,IF(B6&gt;70,69.9,B6))</f>
        <v>55.906849315068492</v>
      </c>
      <c r="H8" s="20" t="e">
        <f>IF(B7="",#N/A,IF(B7&lt;30,30.1,IF(B7&gt;70,69.9,B7)))</f>
        <v>#N/A</v>
      </c>
    </row>
    <row r="46" spans="1:3" ht="8.25" customHeight="1" x14ac:dyDescent="0.3"/>
    <row r="47" spans="1:3" ht="15.75" customHeight="1" x14ac:dyDescent="0.35">
      <c r="B47" s="21" t="s">
        <v>57</v>
      </c>
    </row>
    <row r="48" spans="1:3" ht="18.75" customHeight="1" x14ac:dyDescent="0.3">
      <c r="A48" s="138" t="s">
        <v>56</v>
      </c>
      <c r="B48" s="138"/>
      <c r="C48" s="138"/>
    </row>
    <row r="49" ht="16.5" customHeight="1" x14ac:dyDescent="0.3"/>
    <row r="50" ht="20.25" customHeight="1" x14ac:dyDescent="0.3"/>
  </sheetData>
  <sheetProtection algorithmName="SHA-512" hashValue="7alPpkg64+yjLhDUByx/3VpBgifMk5GdLtTzPC/v1WNKmfwN0qLCN4HSUPN2mCNEBig0jKv4NqH3B3qBYf0PzA==" saltValue="XEoA6IHIDE6QFfQVWZR6+g==" spinCount="100000" sheet="1" objects="1" scenarios="1" selectLockedCells="1"/>
  <mergeCells count="1">
    <mergeCell ref="A48:C48"/>
  </mergeCells>
  <conditionalFormatting sqref="H8">
    <cfRule type="containsErrors" dxfId="2" priority="1">
      <formula>ISERROR(H8)</formula>
    </cfRule>
  </conditionalFormatting>
  <printOptions horizontalCentered="1"/>
  <pageMargins left="0.78740157480314965" right="0.78740157480314965" top="1.1811023622047245" bottom="0.59055118110236227" header="0.31496062992125984" footer="0.31496062992125984"/>
  <pageSetup paperSize="9" orientation="portrait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F88"/>
  <sheetViews>
    <sheetView showWhiteSpace="0" view="pageLayout" zoomScaleNormal="100" workbookViewId="0">
      <selection activeCell="D6" sqref="D6"/>
    </sheetView>
  </sheetViews>
  <sheetFormatPr baseColWidth="10" defaultColWidth="11.44140625" defaultRowHeight="14.4" x14ac:dyDescent="0.3"/>
  <cols>
    <col min="1" max="1" width="8.44140625" style="10" customWidth="1"/>
    <col min="2" max="2" width="11.5546875" style="10" customWidth="1"/>
    <col min="3" max="3" width="9.6640625" style="10" customWidth="1"/>
    <col min="4" max="5" width="9" style="10" customWidth="1"/>
    <col min="6" max="7" width="9.5546875" style="10" customWidth="1"/>
    <col min="8" max="8" width="10.109375" style="10" bestFit="1" customWidth="1"/>
    <col min="9" max="9" width="9.5546875" style="10" customWidth="1"/>
    <col min="10" max="11" width="11.44140625" style="10"/>
    <col min="12" max="12" width="12" style="10" bestFit="1" customWidth="1"/>
    <col min="13" max="13" width="11.44140625" style="11"/>
    <col min="14" max="16" width="11.44140625" style="10"/>
    <col min="18" max="16384" width="11.44140625" style="10"/>
  </cols>
  <sheetData>
    <row r="1" spans="1:58" ht="23.4" x14ac:dyDescent="0.45">
      <c r="A1" s="109" t="s">
        <v>45</v>
      </c>
      <c r="B1" s="58"/>
      <c r="C1" s="110"/>
      <c r="D1" s="10" t="s">
        <v>70</v>
      </c>
      <c r="M1" s="10"/>
    </row>
    <row r="2" spans="1:58" ht="26.25" customHeight="1" x14ac:dyDescent="0.3">
      <c r="A2" s="8" t="s">
        <v>0</v>
      </c>
      <c r="B2" s="70" t="str">
        <f>IF(Start!C3="","",Start!C3)</f>
        <v>Name</v>
      </c>
      <c r="C2" s="62"/>
      <c r="G2" s="8" t="s">
        <v>1</v>
      </c>
      <c r="H2" s="11">
        <f>IF(Start!C2&gt;1,Start!C2,"")</f>
        <v>43539</v>
      </c>
      <c r="M2" s="10"/>
    </row>
    <row r="3" spans="1:58" x14ac:dyDescent="0.3">
      <c r="A3" s="8" t="s">
        <v>2</v>
      </c>
      <c r="B3" s="65" t="str">
        <f>IF(Start!C4="","",Start!C4)</f>
        <v>Vorname</v>
      </c>
      <c r="C3" s="63"/>
      <c r="M3" s="10"/>
    </row>
    <row r="4" spans="1:58" ht="14.1" customHeight="1" x14ac:dyDescent="0.3">
      <c r="A4" s="10" t="s">
        <v>4</v>
      </c>
      <c r="B4" s="17">
        <f>IF(Start!C6="","",Start!C6)</f>
        <v>23133</v>
      </c>
      <c r="C4" s="13" t="s">
        <v>5</v>
      </c>
      <c r="D4" s="19" t="str">
        <f>IF(Start!C5="","",Start!C5)</f>
        <v>w</v>
      </c>
      <c r="E4" s="13" t="s">
        <v>46</v>
      </c>
      <c r="F4" s="54">
        <f>IF(Start!C8="","",Start!C8)</f>
        <v>157</v>
      </c>
      <c r="G4" s="13"/>
      <c r="H4" s="139" t="s">
        <v>18</v>
      </c>
      <c r="I4" s="139"/>
      <c r="M4" s="10"/>
    </row>
    <row r="5" spans="1:58" ht="14.1" customHeight="1" x14ac:dyDescent="0.3">
      <c r="A5" s="89" t="s">
        <v>1</v>
      </c>
      <c r="B5" s="90" t="s">
        <v>8</v>
      </c>
      <c r="C5" s="91" t="s">
        <v>7</v>
      </c>
      <c r="D5" s="92" t="s">
        <v>19</v>
      </c>
      <c r="E5" s="92" t="s">
        <v>20</v>
      </c>
      <c r="F5" s="92" t="s">
        <v>21</v>
      </c>
      <c r="G5" s="92" t="s">
        <v>22</v>
      </c>
      <c r="H5" s="92" t="s">
        <v>23</v>
      </c>
      <c r="I5" s="92" t="s">
        <v>54</v>
      </c>
      <c r="M5" s="10"/>
    </row>
    <row r="6" spans="1:58" ht="14.1" customHeight="1" x14ac:dyDescent="0.3">
      <c r="A6" s="93">
        <f>IF(Start!C2="","",Start!C2)</f>
        <v>43539</v>
      </c>
      <c r="B6" s="94">
        <f>IF(A6="","",(A6-Laktat!B4)/365)</f>
        <v>55.906849315068492</v>
      </c>
      <c r="C6" s="95">
        <f>'Test 1'!B9</f>
        <v>83</v>
      </c>
      <c r="D6" s="96">
        <f>IF('Test 1'!BC17="","",'Test 1'!BC17)</f>
        <v>32</v>
      </c>
      <c r="E6" s="96">
        <f>IF('Test 1'!BC18="","",'Test 1'!BC18)</f>
        <v>90</v>
      </c>
      <c r="F6" s="128">
        <f>IF('Test 1'!BN17="","",'Test 1'!BN17)</f>
        <v>84</v>
      </c>
      <c r="G6" s="128">
        <f>IF('Test 1'!BN18="","",'Test 1'!BN18)</f>
        <v>116</v>
      </c>
      <c r="H6" s="128">
        <f>IF(G6="","",(F6+G6)/2)</f>
        <v>100</v>
      </c>
      <c r="I6" s="128">
        <f>IF(G6="","",H6+5)</f>
        <v>105</v>
      </c>
      <c r="M6" s="10"/>
    </row>
    <row r="7" spans="1:58" ht="14.1" customHeight="1" x14ac:dyDescent="0.3">
      <c r="M7" s="10"/>
    </row>
    <row r="8" spans="1:58" ht="14.1" customHeight="1" x14ac:dyDescent="0.3">
      <c r="C8" s="12"/>
      <c r="D8" s="27"/>
      <c r="E8" s="27"/>
      <c r="F8" s="52"/>
      <c r="G8" s="52" t="s">
        <v>40</v>
      </c>
      <c r="H8" s="51" t="str">
        <f>IF(C8="","",(F8+G8)/2)</f>
        <v/>
      </c>
      <c r="I8" s="51"/>
      <c r="M8" s="10"/>
      <c r="BB8" s="130"/>
      <c r="BC8" s="130"/>
      <c r="BD8" s="130"/>
      <c r="BE8" s="130"/>
      <c r="BF8" s="130"/>
    </row>
    <row r="9" spans="1:58" ht="14.1" customHeight="1" x14ac:dyDescent="0.3">
      <c r="M9" s="10"/>
      <c r="BB9" s="130"/>
      <c r="BC9" s="130"/>
      <c r="BD9" s="130"/>
      <c r="BE9" s="130"/>
      <c r="BF9" s="130"/>
    </row>
    <row r="10" spans="1:58" x14ac:dyDescent="0.3">
      <c r="M10" s="10"/>
      <c r="BB10" s="130"/>
      <c r="BC10" s="130"/>
      <c r="BD10" s="130"/>
      <c r="BE10" s="130"/>
      <c r="BF10" s="130"/>
    </row>
    <row r="11" spans="1:58" x14ac:dyDescent="0.3">
      <c r="M11" s="10"/>
      <c r="BB11" s="130"/>
      <c r="BC11" s="130"/>
      <c r="BD11" s="130"/>
      <c r="BE11" s="130"/>
      <c r="BF11" s="130"/>
    </row>
    <row r="12" spans="1:58" x14ac:dyDescent="0.3">
      <c r="M12" s="10"/>
      <c r="BB12" s="130"/>
      <c r="BC12" s="130"/>
      <c r="BD12" s="130"/>
      <c r="BE12" s="130"/>
      <c r="BF12" s="130"/>
    </row>
    <row r="13" spans="1:58" x14ac:dyDescent="0.3">
      <c r="M13" s="10"/>
      <c r="BB13" s="130"/>
      <c r="BC13" s="130"/>
      <c r="BD13" s="130"/>
      <c r="BE13" s="130"/>
      <c r="BF13" s="130"/>
    </row>
    <row r="14" spans="1:58" x14ac:dyDescent="0.3">
      <c r="M14" s="10"/>
      <c r="BB14" s="130"/>
      <c r="BC14" s="130"/>
      <c r="BD14" s="130"/>
      <c r="BE14" s="130"/>
      <c r="BF14" s="130"/>
    </row>
    <row r="15" spans="1:58" x14ac:dyDescent="0.3">
      <c r="M15" s="10"/>
      <c r="BB15" s="130"/>
      <c r="BC15" s="130"/>
      <c r="BD15" s="130"/>
      <c r="BE15" s="130"/>
      <c r="BF15" s="130"/>
    </row>
    <row r="16" spans="1:58" x14ac:dyDescent="0.3">
      <c r="M16" s="10"/>
      <c r="BB16" s="130"/>
      <c r="BC16" s="130"/>
      <c r="BD16" s="130"/>
      <c r="BE16" s="130"/>
      <c r="BF16" s="130"/>
    </row>
    <row r="17" spans="13:58" x14ac:dyDescent="0.3">
      <c r="M17" s="10"/>
      <c r="BB17" s="130"/>
      <c r="BC17" s="130"/>
      <c r="BD17" s="130"/>
      <c r="BE17" s="130"/>
      <c r="BF17" s="130"/>
    </row>
    <row r="18" spans="13:58" x14ac:dyDescent="0.3">
      <c r="M18" s="10"/>
      <c r="BB18" s="130"/>
      <c r="BC18" s="130"/>
      <c r="BD18" s="130"/>
      <c r="BE18" s="130"/>
      <c r="BF18" s="130"/>
    </row>
    <row r="19" spans="13:58" x14ac:dyDescent="0.3">
      <c r="M19" s="10"/>
      <c r="R19" s="79"/>
      <c r="BB19" s="130"/>
      <c r="BC19" s="130"/>
      <c r="BD19" s="130"/>
      <c r="BE19" s="130"/>
      <c r="BF19" s="130"/>
    </row>
    <row r="20" spans="13:58" x14ac:dyDescent="0.3">
      <c r="M20" s="10"/>
      <c r="R20" s="79"/>
      <c r="BB20" s="130"/>
      <c r="BC20" s="130"/>
      <c r="BD20" s="130"/>
      <c r="BE20" s="130"/>
      <c r="BF20" s="130"/>
    </row>
    <row r="21" spans="13:58" x14ac:dyDescent="0.3">
      <c r="M21" s="10"/>
      <c r="R21" s="79"/>
      <c r="BB21" s="130"/>
      <c r="BC21" s="130"/>
      <c r="BD21" s="130"/>
      <c r="BE21" s="130"/>
      <c r="BF21" s="130"/>
    </row>
    <row r="22" spans="13:58" x14ac:dyDescent="0.3">
      <c r="M22" s="10"/>
      <c r="R22" s="79"/>
      <c r="BB22" s="130"/>
      <c r="BC22" s="130"/>
      <c r="BD22" s="130"/>
      <c r="BE22" s="130"/>
      <c r="BF22" s="130"/>
    </row>
    <row r="23" spans="13:58" x14ac:dyDescent="0.3">
      <c r="M23" s="10"/>
      <c r="BB23" s="130"/>
      <c r="BC23" s="130"/>
      <c r="BD23" s="130"/>
      <c r="BE23" s="130"/>
      <c r="BF23" s="130"/>
    </row>
    <row r="24" spans="13:58" x14ac:dyDescent="0.3">
      <c r="M24" s="10"/>
    </row>
    <row r="25" spans="13:58" x14ac:dyDescent="0.3">
      <c r="M25" s="10"/>
    </row>
    <row r="26" spans="13:58" x14ac:dyDescent="0.3">
      <c r="M26" s="10"/>
    </row>
    <row r="27" spans="13:58" x14ac:dyDescent="0.3">
      <c r="M27" s="10"/>
    </row>
    <row r="28" spans="13:58" x14ac:dyDescent="0.3">
      <c r="M28" s="10"/>
    </row>
    <row r="29" spans="13:58" x14ac:dyDescent="0.3">
      <c r="M29" s="10"/>
    </row>
    <row r="30" spans="13:58" x14ac:dyDescent="0.3">
      <c r="M30" s="10"/>
    </row>
    <row r="31" spans="13:58" x14ac:dyDescent="0.3">
      <c r="M31" s="10"/>
    </row>
    <row r="32" spans="13:58" x14ac:dyDescent="0.3">
      <c r="M32" s="10"/>
    </row>
    <row r="33" spans="1:13" x14ac:dyDescent="0.3">
      <c r="M33" s="10"/>
    </row>
    <row r="34" spans="1:13" x14ac:dyDescent="0.3">
      <c r="M34" s="10"/>
    </row>
    <row r="35" spans="1:13" x14ac:dyDescent="0.3">
      <c r="M35" s="10"/>
    </row>
    <row r="36" spans="1:13" x14ac:dyDescent="0.3">
      <c r="M36" s="10"/>
    </row>
    <row r="37" spans="1:13" x14ac:dyDescent="0.3">
      <c r="M37" s="10"/>
    </row>
    <row r="38" spans="1:13" x14ac:dyDescent="0.3">
      <c r="M38" s="10"/>
    </row>
    <row r="39" spans="1:13" x14ac:dyDescent="0.3">
      <c r="M39" s="10"/>
    </row>
    <row r="40" spans="1:13" x14ac:dyDescent="0.3">
      <c r="M40" s="10"/>
    </row>
    <row r="41" spans="1:13" x14ac:dyDescent="0.3">
      <c r="M41" s="10"/>
    </row>
    <row r="42" spans="1:13" x14ac:dyDescent="0.3">
      <c r="M42" s="10"/>
    </row>
    <row r="43" spans="1:13" x14ac:dyDescent="0.3">
      <c r="M43" s="10"/>
    </row>
    <row r="44" spans="1:13" x14ac:dyDescent="0.3">
      <c r="M44" s="10"/>
    </row>
    <row r="45" spans="1:13" x14ac:dyDescent="0.3">
      <c r="M45" s="10"/>
    </row>
    <row r="46" spans="1:13" x14ac:dyDescent="0.3">
      <c r="M46" s="10"/>
    </row>
    <row r="47" spans="1:13" x14ac:dyDescent="0.3">
      <c r="M47" s="10"/>
    </row>
    <row r="48" spans="1:13" ht="17.25" customHeight="1" x14ac:dyDescent="0.3">
      <c r="A48" s="140" t="s">
        <v>56</v>
      </c>
      <c r="B48" s="141"/>
      <c r="C48" s="141"/>
      <c r="M48" s="10"/>
    </row>
    <row r="49" spans="1:13" x14ac:dyDescent="0.3">
      <c r="A49" s="13"/>
      <c r="D49" s="57"/>
      <c r="E49" s="57"/>
      <c r="F49" s="57"/>
      <c r="G49" s="57"/>
      <c r="H49" s="57"/>
      <c r="I49" s="57"/>
      <c r="M49" s="10"/>
    </row>
    <row r="50" spans="1:13" ht="6.75" customHeight="1" x14ac:dyDescent="0.3">
      <c r="A50" s="58"/>
      <c r="B50" s="58"/>
      <c r="C50" s="58"/>
      <c r="D50" s="58"/>
      <c r="E50" s="58"/>
      <c r="F50" s="58"/>
      <c r="G50" s="58"/>
      <c r="H50" s="58"/>
      <c r="I50" s="58"/>
      <c r="M50" s="10"/>
    </row>
    <row r="51" spans="1:13" x14ac:dyDescent="0.3">
      <c r="A51" s="58"/>
      <c r="B51" s="58"/>
      <c r="C51" s="58"/>
      <c r="D51" s="58"/>
      <c r="E51" s="58"/>
      <c r="F51" s="58"/>
      <c r="G51" s="58"/>
      <c r="H51" s="58"/>
      <c r="I51" s="58"/>
      <c r="M51" s="10"/>
    </row>
    <row r="52" spans="1:13" x14ac:dyDescent="0.3">
      <c r="M52" s="10"/>
    </row>
    <row r="53" spans="1:13" x14ac:dyDescent="0.3">
      <c r="M53" s="10"/>
    </row>
    <row r="54" spans="1:13" x14ac:dyDescent="0.3">
      <c r="M54" s="10"/>
    </row>
    <row r="55" spans="1:13" x14ac:dyDescent="0.3">
      <c r="M55" s="10"/>
    </row>
    <row r="56" spans="1:13" x14ac:dyDescent="0.3">
      <c r="M56" s="10"/>
    </row>
    <row r="57" spans="1:13" x14ac:dyDescent="0.3">
      <c r="M57" s="10"/>
    </row>
    <row r="58" spans="1:13" x14ac:dyDescent="0.3">
      <c r="M58" s="10"/>
    </row>
    <row r="59" spans="1:13" x14ac:dyDescent="0.3">
      <c r="M59" s="10"/>
    </row>
    <row r="60" spans="1:13" x14ac:dyDescent="0.3">
      <c r="M60" s="10"/>
    </row>
    <row r="61" spans="1:13" x14ac:dyDescent="0.3">
      <c r="M61" s="10"/>
    </row>
    <row r="62" spans="1:13" x14ac:dyDescent="0.3">
      <c r="M62" s="10"/>
    </row>
    <row r="63" spans="1:13" x14ac:dyDescent="0.3">
      <c r="M63" s="10"/>
    </row>
    <row r="64" spans="1:13" x14ac:dyDescent="0.3">
      <c r="M64" s="10"/>
    </row>
    <row r="65" spans="13:13" x14ac:dyDescent="0.3">
      <c r="M65" s="10"/>
    </row>
    <row r="66" spans="13:13" x14ac:dyDescent="0.3">
      <c r="M66" s="10"/>
    </row>
    <row r="67" spans="13:13" x14ac:dyDescent="0.3">
      <c r="M67" s="10"/>
    </row>
    <row r="68" spans="13:13" x14ac:dyDescent="0.3">
      <c r="M68" s="10"/>
    </row>
    <row r="69" spans="13:13" x14ac:dyDescent="0.3">
      <c r="M69" s="10"/>
    </row>
    <row r="70" spans="13:13" x14ac:dyDescent="0.3">
      <c r="M70" s="10"/>
    </row>
    <row r="71" spans="13:13" x14ac:dyDescent="0.3">
      <c r="M71" s="10"/>
    </row>
    <row r="72" spans="13:13" x14ac:dyDescent="0.3">
      <c r="M72" s="10"/>
    </row>
    <row r="73" spans="13:13" x14ac:dyDescent="0.3">
      <c r="M73" s="10"/>
    </row>
    <row r="74" spans="13:13" x14ac:dyDescent="0.3">
      <c r="M74" s="10"/>
    </row>
    <row r="75" spans="13:13" x14ac:dyDescent="0.3">
      <c r="M75" s="10"/>
    </row>
    <row r="76" spans="13:13" x14ac:dyDescent="0.3">
      <c r="M76" s="10"/>
    </row>
    <row r="77" spans="13:13" x14ac:dyDescent="0.3">
      <c r="M77" s="10"/>
    </row>
    <row r="78" spans="13:13" x14ac:dyDescent="0.3">
      <c r="M78" s="10"/>
    </row>
    <row r="79" spans="13:13" x14ac:dyDescent="0.3">
      <c r="M79" s="10"/>
    </row>
    <row r="80" spans="13:13" x14ac:dyDescent="0.3">
      <c r="M80" s="10"/>
    </row>
    <row r="81" spans="13:13" x14ac:dyDescent="0.3">
      <c r="M81" s="10"/>
    </row>
    <row r="82" spans="13:13" x14ac:dyDescent="0.3">
      <c r="M82" s="10"/>
    </row>
    <row r="83" spans="13:13" x14ac:dyDescent="0.3">
      <c r="M83" s="10"/>
    </row>
    <row r="84" spans="13:13" x14ac:dyDescent="0.3">
      <c r="M84" s="10"/>
    </row>
    <row r="85" spans="13:13" x14ac:dyDescent="0.3">
      <c r="M85" s="10"/>
    </row>
    <row r="86" spans="13:13" x14ac:dyDescent="0.3">
      <c r="M86" s="10"/>
    </row>
    <row r="87" spans="13:13" x14ac:dyDescent="0.3">
      <c r="M87" s="10"/>
    </row>
    <row r="88" spans="13:13" x14ac:dyDescent="0.3">
      <c r="M88" s="10"/>
    </row>
  </sheetData>
  <sheetProtection algorithmName="SHA-512" hashValue="+EQjwVO9xGYZRjgpR9XIHXklOurYiPiW4VtJBhpnXeF5WhQebZQFt+ryFh6x1uRfCh7boU1DuYWDJatvASgm+A==" saltValue="cy3aruchP/5C0TnbtRR0gg==" spinCount="100000" sheet="1" objects="1" scenarios="1" selectLockedCells="1"/>
  <mergeCells count="2">
    <mergeCell ref="H4:I4"/>
    <mergeCell ref="A48:C48"/>
  </mergeCells>
  <conditionalFormatting sqref="R15:S17">
    <cfRule type="containsErrors" dxfId="1" priority="1">
      <formula>ISERROR(R15)</formula>
    </cfRule>
  </conditionalFormatting>
  <printOptions horizontalCentered="1"/>
  <pageMargins left="0.70866141732283472" right="0.70866141732283472" top="1.1811023622047245" bottom="0.59055118110236227" header="0.31496062992125984" footer="0.31496062992125984"/>
  <pageSetup paperSize="9" orientation="portrait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7"/>
  <sheetViews>
    <sheetView view="pageLayout" topLeftCell="A13" zoomScaleNormal="100" workbookViewId="0">
      <selection activeCell="A2" sqref="A2"/>
    </sheetView>
  </sheetViews>
  <sheetFormatPr baseColWidth="10" defaultColWidth="11.44140625" defaultRowHeight="14.4" x14ac:dyDescent="0.3"/>
  <cols>
    <col min="3" max="3" width="4.33203125" customWidth="1"/>
    <col min="4" max="4" width="11" customWidth="1"/>
    <col min="5" max="5" width="12.6640625" customWidth="1"/>
    <col min="6" max="7" width="11" customWidth="1"/>
    <col min="8" max="8" width="13.5546875" customWidth="1"/>
  </cols>
  <sheetData>
    <row r="1" spans="1:8" s="15" customFormat="1" ht="34.5" customHeight="1" x14ac:dyDescent="0.3">
      <c r="A1" s="142" t="s">
        <v>85</v>
      </c>
      <c r="B1" s="142"/>
      <c r="C1" s="142"/>
      <c r="D1" s="142"/>
      <c r="E1" s="142"/>
    </row>
    <row r="2" spans="1:8" s="10" customFormat="1" x14ac:dyDescent="0.3">
      <c r="A2" s="8" t="s">
        <v>0</v>
      </c>
      <c r="B2" s="14" t="str">
        <f>IF(Start!C3="","",Start!C3)</f>
        <v>Name</v>
      </c>
      <c r="G2" s="8" t="s">
        <v>1</v>
      </c>
      <c r="H2" s="11">
        <f>IF(Start!C2&gt;1,Start!C2,"")</f>
        <v>43539</v>
      </c>
    </row>
    <row r="3" spans="1:8" x14ac:dyDescent="0.3">
      <c r="A3" s="8" t="s">
        <v>2</v>
      </c>
      <c r="B3" s="14" t="str">
        <f>IF(Start!C4="","",Start!C4)</f>
        <v>Vorname</v>
      </c>
      <c r="C3" s="10"/>
      <c r="D3" s="10"/>
      <c r="E3" s="10"/>
      <c r="F3" s="10"/>
      <c r="G3" s="10"/>
      <c r="H3" s="10"/>
    </row>
    <row r="4" spans="1:8" ht="15" customHeight="1" x14ac:dyDescent="0.3">
      <c r="A4" s="10" t="s">
        <v>4</v>
      </c>
      <c r="B4" s="17">
        <f>IF(Start!C6="","",Start!C6)</f>
        <v>23133</v>
      </c>
    </row>
    <row r="5" spans="1:8" x14ac:dyDescent="0.3">
      <c r="A5" s="10" t="s">
        <v>8</v>
      </c>
      <c r="B5" s="18">
        <f>IF(B4="","",IF(H2="","",(H2-B4)/365))</f>
        <v>55.906849315068492</v>
      </c>
      <c r="C5" s="2"/>
    </row>
    <row r="6" spans="1:8" x14ac:dyDescent="0.3">
      <c r="A6" s="10" t="s">
        <v>44</v>
      </c>
      <c r="B6" s="19" t="str">
        <f>IF(Start!C7="","",Start!C7)</f>
        <v/>
      </c>
      <c r="C6" s="2"/>
    </row>
    <row r="7" spans="1:8" x14ac:dyDescent="0.3">
      <c r="A7" s="10" t="s">
        <v>7</v>
      </c>
      <c r="B7" s="53">
        <f>IF(Start!C9="","",Start!C9)</f>
        <v>83</v>
      </c>
      <c r="C7" s="4"/>
    </row>
    <row r="8" spans="1:8" x14ac:dyDescent="0.3">
      <c r="A8" s="10" t="s">
        <v>46</v>
      </c>
      <c r="B8" s="38">
        <f>IF(Start!C8="","",Start!C8)</f>
        <v>157</v>
      </c>
      <c r="C8" s="2"/>
    </row>
    <row r="9" spans="1:8" x14ac:dyDescent="0.3">
      <c r="A9" s="10" t="s">
        <v>5</v>
      </c>
      <c r="B9" s="9" t="str">
        <f>IF(Start!C5="","",Start!C5)</f>
        <v>w</v>
      </c>
      <c r="C9" s="2"/>
    </row>
    <row r="10" spans="1:8" x14ac:dyDescent="0.3">
      <c r="B10" s="5"/>
      <c r="C10" s="5"/>
    </row>
    <row r="11" spans="1:8" ht="33" customHeight="1" x14ac:dyDescent="0.35">
      <c r="F11" s="64" t="s">
        <v>61</v>
      </c>
      <c r="G11" s="1" t="s">
        <v>24</v>
      </c>
      <c r="H11" s="1" t="s">
        <v>17</v>
      </c>
    </row>
    <row r="12" spans="1:8" x14ac:dyDescent="0.3">
      <c r="D12" t="s">
        <v>1</v>
      </c>
      <c r="E12" t="s">
        <v>25</v>
      </c>
      <c r="F12" s="64" t="s">
        <v>62</v>
      </c>
      <c r="G12" s="1" t="s">
        <v>53</v>
      </c>
      <c r="H12" t="s">
        <v>26</v>
      </c>
    </row>
    <row r="13" spans="1:8" x14ac:dyDescent="0.3">
      <c r="D13" s="3">
        <f>IF('Test 1'!G3="","",'Test 1'!G3)</f>
        <v>43539</v>
      </c>
      <c r="E13" s="66">
        <f>IF(Laktat!E6="","",Laktat!E6)</f>
        <v>90</v>
      </c>
      <c r="F13" s="7">
        <f>IF(E13="","",IF(B7="","",E13*13/B7))</f>
        <v>14.096385542168674</v>
      </c>
      <c r="G13" s="7">
        <f>IF(F13="","",F13*60*4.8/1000)</f>
        <v>4.0597590361445786</v>
      </c>
      <c r="H13" s="7">
        <f>IF('PWC 130'!G6="","",'PWC 130'!G6)</f>
        <v>1.3734939759036144</v>
      </c>
    </row>
    <row r="14" spans="1:8" x14ac:dyDescent="0.3">
      <c r="D14" s="12"/>
      <c r="E14" s="66"/>
      <c r="F14" s="7"/>
      <c r="G14" s="7"/>
      <c r="H14" s="7"/>
    </row>
    <row r="15" spans="1:8" x14ac:dyDescent="0.3">
      <c r="D15" s="3"/>
      <c r="E15" s="1"/>
      <c r="F15" s="7"/>
      <c r="G15" s="7"/>
      <c r="H15" s="7"/>
    </row>
    <row r="43" spans="1:4" x14ac:dyDescent="0.3">
      <c r="D43" s="6"/>
    </row>
    <row r="46" spans="1:4" x14ac:dyDescent="0.3">
      <c r="A46" s="143" t="s">
        <v>55</v>
      </c>
      <c r="B46" s="144"/>
      <c r="C46" s="144"/>
      <c r="D46" s="144"/>
    </row>
    <row r="47" spans="1:4" x14ac:dyDescent="0.3">
      <c r="A47" s="127"/>
      <c r="B47" s="63"/>
      <c r="C47" s="63"/>
      <c r="D47" s="63"/>
    </row>
  </sheetData>
  <sheetProtection algorithmName="SHA-512" hashValue="qZXWHv809FmgoVXucHc+kWEa6nLNkHSs4I0FXd6cMzC7pumO8vNwc78fATtgGCBQa99i/efhmrdNy+RLbEwxFw==" saltValue="OwWhYZl6zEQy8WnPK5MSgA==" spinCount="100000" sheet="1" objects="1" scenarios="1" selectLockedCells="1"/>
  <mergeCells count="2">
    <mergeCell ref="A1:E1"/>
    <mergeCell ref="A46:D46"/>
  </mergeCells>
  <conditionalFormatting sqref="H15">
    <cfRule type="cellIs" dxfId="0" priority="1" operator="equal">
      <formula>0</formula>
    </cfRule>
  </conditionalFormatting>
  <printOptions horizontalCentered="1"/>
  <pageMargins left="0.51181102362204722" right="0.51181102362204722" top="1.1811023622047245" bottom="0.59055118110236227" header="0.31496062992125984" footer="0.31496062992125984"/>
  <pageSetup paperSize="9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4</vt:i4>
      </vt:variant>
    </vt:vector>
  </HeadingPairs>
  <TitlesOfParts>
    <vt:vector size="9" baseType="lpstr">
      <vt:lpstr>Start</vt:lpstr>
      <vt:lpstr>Test 1</vt:lpstr>
      <vt:lpstr>PWC 130</vt:lpstr>
      <vt:lpstr>Laktat</vt:lpstr>
      <vt:lpstr>MET &amp; PWC</vt:lpstr>
      <vt:lpstr>Laktat!Druckbereich</vt:lpstr>
      <vt:lpstr>'MET &amp; PWC'!Druckbereich</vt:lpstr>
      <vt:lpstr>'PWC 130'!Druckbereich</vt:lpstr>
      <vt:lpstr>'Test 1'!Druckbereich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Büro</dc:creator>
  <cp:keywords/>
  <dc:description/>
  <cp:lastModifiedBy>Edgar Heinen</cp:lastModifiedBy>
  <cp:revision>0</cp:revision>
  <cp:lastPrinted>2020-12-16T14:43:09Z</cp:lastPrinted>
  <dcterms:created xsi:type="dcterms:W3CDTF">2019-12-08T13:35:15Z</dcterms:created>
  <dcterms:modified xsi:type="dcterms:W3CDTF">2022-02-17T10:54:12Z</dcterms:modified>
</cp:coreProperties>
</file>